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5" windowWidth="11700" windowHeight="6540" tabRatio="727" activeTab="1"/>
  </bookViews>
  <sheets>
    <sheet name="ÖSSZEFÜGGÉSEK" sheetId="75" r:id="rId1"/>
    <sheet name="1.1.sz.mell." sheetId="1" r:id="rId2"/>
    <sheet name="1.2.sz.mell." sheetId="108" r:id="rId3"/>
    <sheet name="1.3.sz.mell." sheetId="111" r:id="rId4"/>
    <sheet name="1.4.sz.mell." sheetId="112" r:id="rId5"/>
    <sheet name="2.1.sz.mell  " sheetId="73" r:id="rId6"/>
    <sheet name="2.2.sz.mell  " sheetId="61" r:id="rId7"/>
    <sheet name="ELLENŐRZÉS-1.sz.2.1.sz.2.2.sz." sheetId="76" r:id="rId8"/>
    <sheet name="3.sz.mell." sheetId="63" r:id="rId9"/>
    <sheet name="4.sz.mell." sheetId="64" r:id="rId10"/>
    <sheet name="5. sz. mell. " sheetId="71" r:id="rId11"/>
    <sheet name="6.1. sz. mell" sheetId="3" r:id="rId12"/>
    <sheet name="6.2. sz. mell" sheetId="113" r:id="rId13"/>
    <sheet name="6.3. sz. mell" sheetId="114" r:id="rId14"/>
    <sheet name="6.4. sz. mell" sheetId="115" r:id="rId15"/>
    <sheet name="7.1. sz. mell" sheetId="79" r:id="rId16"/>
    <sheet name="7.2. sz. mell" sheetId="116" r:id="rId17"/>
    <sheet name="7.3. sz. mell" sheetId="117" r:id="rId18"/>
    <sheet name="7.4. sz. mell" sheetId="118" r:id="rId19"/>
    <sheet name="8.1. sz. mell." sheetId="84" r:id="rId20"/>
    <sheet name="8.1.1. sz. mell." sheetId="119" r:id="rId21"/>
    <sheet name="8.1.2. sz. mell." sheetId="120" r:id="rId22"/>
    <sheet name="8.1.3. sz. mell." sheetId="121" r:id="rId23"/>
    <sheet name="8.2. sz. mell." sheetId="122" r:id="rId24"/>
    <sheet name="8.2.1. sz. mell." sheetId="123" r:id="rId25"/>
    <sheet name="8.2.2. sz. mell." sheetId="124" r:id="rId26"/>
    <sheet name="8.2.3. sz. mell." sheetId="125" r:id="rId27"/>
    <sheet name="8.3. sz. mell." sheetId="126" r:id="rId28"/>
    <sheet name="8.3.1. sz. mell." sheetId="127" r:id="rId29"/>
    <sheet name="8.3.2. sz. mell. " sheetId="128" r:id="rId30"/>
    <sheet name="8.3.3. sz. mell." sheetId="129" r:id="rId31"/>
    <sheet name="9. sz. mell" sheetId="107" r:id="rId32"/>
    <sheet name="9.1. sz. mell" sheetId="134" r:id="rId33"/>
    <sheet name="10. sz. mell" sheetId="133" r:id="rId34"/>
    <sheet name="11. sz. mell" sheetId="130" r:id="rId35"/>
    <sheet name="12. sz. mell" sheetId="131" r:id="rId36"/>
    <sheet name="13. sz. mell" sheetId="103" r:id="rId37"/>
    <sheet name="14. sz. mell" sheetId="104" r:id="rId38"/>
    <sheet name="15. sz. mell" sheetId="132" r:id="rId39"/>
    <sheet name="1.tájékoztató" sheetId="95" r:id="rId40"/>
    <sheet name="2. tájékoztató tábla" sheetId="96" r:id="rId41"/>
    <sheet name="3. tájékoztató tábla" sheetId="97" r:id="rId42"/>
    <sheet name="4. tájékoztató tábla" sheetId="98" r:id="rId43"/>
    <sheet name="5. tájékoztató tábla" sheetId="99" r:id="rId44"/>
    <sheet name="6. tájékoztató tábla" sheetId="100" r:id="rId45"/>
    <sheet name="7. tájékoztató tábla" sheetId="105" r:id="rId46"/>
    <sheet name="8. tájékoztató tábla" sheetId="106" r:id="rId47"/>
    <sheet name="Munka1" sheetId="94" r:id="rId48"/>
  </sheets>
  <externalReferences>
    <externalReference r:id="rId49"/>
    <externalReference r:id="rId50"/>
    <externalReference r:id="rId51"/>
    <externalReference r:id="rId52"/>
  </externalReferences>
  <definedNames>
    <definedName name="__________________________________________________________________________________________________________________________hit03" localSheetId="32">#REF!</definedName>
    <definedName name="__________________________________________________________________________________________________________________________hit03">#REF!</definedName>
    <definedName name="_________________________________________________________________________________________________________________________hit03" localSheetId="32">#REF!</definedName>
    <definedName name="_________________________________________________________________________________________________________________________hit03">#REF!</definedName>
    <definedName name="________________________________________________________________________________________________________________________hit03" localSheetId="32">#REF!</definedName>
    <definedName name="________________________________________________________________________________________________________________________hit03">#REF!</definedName>
    <definedName name="_______________________________________________________________________________________________________________________hit03" localSheetId="32">#REF!</definedName>
    <definedName name="_______________________________________________________________________________________________________________________hit03">#REF!</definedName>
    <definedName name="______________________________________________________________________________________________________________________hit03" localSheetId="32">#REF!</definedName>
    <definedName name="______________________________________________________________________________________________________________________hit03">#REF!</definedName>
    <definedName name="_____________________________________________________________________________________________________________________hit03" localSheetId="32">#REF!</definedName>
    <definedName name="_____________________________________________________________________________________________________________________hit03">#REF!</definedName>
    <definedName name="____________________________________________________________________________________________________________________hit03" localSheetId="32">#REF!</definedName>
    <definedName name="____________________________________________________________________________________________________________________hit03">#REF!</definedName>
    <definedName name="___________________________________________________________________________________________________________________hit03" localSheetId="32">#REF!</definedName>
    <definedName name="___________________________________________________________________________________________________________________hit03">#REF!</definedName>
    <definedName name="__________________________________________________________________________________________________________________hit03" localSheetId="32">#REF!</definedName>
    <definedName name="__________________________________________________________________________________________________________________hit03">#REF!</definedName>
    <definedName name="_________________________________________________________________________________________________________________hit03" localSheetId="32">#REF!</definedName>
    <definedName name="_________________________________________________________________________________________________________________hit03">#REF!</definedName>
    <definedName name="________________________________________________________________________________________________________________hit03" localSheetId="32">#REF!</definedName>
    <definedName name="________________________________________________________________________________________________________________hit03">#REF!</definedName>
    <definedName name="_______________________________________________________________________________________________________________hit03" localSheetId="32">#REF!</definedName>
    <definedName name="_______________________________________________________________________________________________________________hit03">#REF!</definedName>
    <definedName name="______________________________________________________________________________________________________________hit03" localSheetId="32">#REF!</definedName>
    <definedName name="______________________________________________________________________________________________________________hit03">#REF!</definedName>
    <definedName name="_____________________________________________________________________________________________________________hit03" localSheetId="32">#REF!</definedName>
    <definedName name="_____________________________________________________________________________________________________________hit03">#REF!</definedName>
    <definedName name="____________________________________________________________________________________________________________hit03" localSheetId="32">#REF!</definedName>
    <definedName name="____________________________________________________________________________________________________________hit03">#REF!</definedName>
    <definedName name="___________________________________________________________________________________________________________hit03" localSheetId="32">#REF!</definedName>
    <definedName name="___________________________________________________________________________________________________________hit03">#REF!</definedName>
    <definedName name="__________________________________________________________________________________________________________hit03" localSheetId="32">#REF!</definedName>
    <definedName name="__________________________________________________________________________________________________________hit03">#REF!</definedName>
    <definedName name="_________________________________________________________________________________________________________hit03" localSheetId="32">#REF!</definedName>
    <definedName name="_________________________________________________________________________________________________________hit03">#REF!</definedName>
    <definedName name="________________________________________________________________________________________________________hit03" localSheetId="32">#REF!</definedName>
    <definedName name="________________________________________________________________________________________________________hit03">#REF!</definedName>
    <definedName name="_______________________________________________________________________________________________________hit03" localSheetId="32">#REF!</definedName>
    <definedName name="_______________________________________________________________________________________________________hit03">#REF!</definedName>
    <definedName name="______________________________________________________________________________________________________hit03" localSheetId="32">#REF!</definedName>
    <definedName name="______________________________________________________________________________________________________hit03">#REF!</definedName>
    <definedName name="_____________________________________________________________________________________________________hit03" localSheetId="32">#REF!</definedName>
    <definedName name="_____________________________________________________________________________________________________hit03">#REF!</definedName>
    <definedName name="____________________________________________________________________________________________________hit03" localSheetId="32">#REF!</definedName>
    <definedName name="____________________________________________________________________________________________________hit03">#REF!</definedName>
    <definedName name="___________________________________________________________________________________________________hit03" localSheetId="32">#REF!</definedName>
    <definedName name="___________________________________________________________________________________________________hit03">#REF!</definedName>
    <definedName name="__________________________________________________________________________________________________hit03" localSheetId="32">#REF!</definedName>
    <definedName name="__________________________________________________________________________________________________hit03">#REF!</definedName>
    <definedName name="_________________________________________________________________________________________________hit03" localSheetId="32">#REF!</definedName>
    <definedName name="_________________________________________________________________________________________________hit03">#REF!</definedName>
    <definedName name="________________________________________________________________________________________________hit03" localSheetId="32">#REF!</definedName>
    <definedName name="________________________________________________________________________________________________hit03">#REF!</definedName>
    <definedName name="_______________________________________________________________________________________________hit03" localSheetId="32">#REF!</definedName>
    <definedName name="_______________________________________________________________________________________________hit03">#REF!</definedName>
    <definedName name="______________________________________________________________________________________________hit03" localSheetId="32">#REF!</definedName>
    <definedName name="______________________________________________________________________________________________hit03">#REF!</definedName>
    <definedName name="_____________________________________________________________________________________________hit03" localSheetId="32">#REF!</definedName>
    <definedName name="_____________________________________________________________________________________________hit03">#REF!</definedName>
    <definedName name="____________________________________________________________________________________________hit03" localSheetId="32">#REF!</definedName>
    <definedName name="____________________________________________________________________________________________hit03">#REF!</definedName>
    <definedName name="___________________________________________________________________________________________hit03" localSheetId="32">#REF!</definedName>
    <definedName name="___________________________________________________________________________________________hit03">#REF!</definedName>
    <definedName name="__________________________________________________________________________________________hit03" localSheetId="32">#REF!</definedName>
    <definedName name="__________________________________________________________________________________________hit03">#REF!</definedName>
    <definedName name="_________________________________________________________________________________________hit03" localSheetId="32">#REF!</definedName>
    <definedName name="_________________________________________________________________________________________hit03">#REF!</definedName>
    <definedName name="________________________________________________________________________________________hit03" localSheetId="32">#REF!</definedName>
    <definedName name="________________________________________________________________________________________hit03">#REF!</definedName>
    <definedName name="_______________________________________________________________________________________hit03" localSheetId="32">#REF!</definedName>
    <definedName name="_______________________________________________________________________________________hit03">#REF!</definedName>
    <definedName name="______________________________________________________________________________________hit03" localSheetId="32">#REF!</definedName>
    <definedName name="______________________________________________________________________________________hit03">#REF!</definedName>
    <definedName name="_____________________________________________________________________________________hit03" localSheetId="32">#REF!</definedName>
    <definedName name="_____________________________________________________________________________________hit03">#REF!</definedName>
    <definedName name="____________________________________________________________________________________hit03" localSheetId="32">#REF!</definedName>
    <definedName name="____________________________________________________________________________________hit03">#REF!</definedName>
    <definedName name="___________________________________________________________________________________hit03" localSheetId="32">#REF!</definedName>
    <definedName name="___________________________________________________________________________________hit03">#REF!</definedName>
    <definedName name="__________________________________________________________________________________hit03" localSheetId="32">#REF!</definedName>
    <definedName name="__________________________________________________________________________________hit03">#REF!</definedName>
    <definedName name="_________________________________________________________________________________hit03" localSheetId="32">#REF!</definedName>
    <definedName name="_________________________________________________________________________________hit03">#REF!</definedName>
    <definedName name="________________________________________________________________________________hit03" localSheetId="32">#REF!</definedName>
    <definedName name="________________________________________________________________________________hit03">#REF!</definedName>
    <definedName name="_______________________________________________________________________________hit03" localSheetId="32">#REF!</definedName>
    <definedName name="_______________________________________________________________________________hit03">#REF!</definedName>
    <definedName name="______________________________________________________________________________hit03" localSheetId="32">#REF!</definedName>
    <definedName name="______________________________________________________________________________hit03">#REF!</definedName>
    <definedName name="_____________________________________________________________________________hit03" localSheetId="32">#REF!</definedName>
    <definedName name="_____________________________________________________________________________hit03">#REF!</definedName>
    <definedName name="____________________________________________________________________________hit03" localSheetId="32">#REF!</definedName>
    <definedName name="____________________________________________________________________________hit03">#REF!</definedName>
    <definedName name="___________________________________________________________________________hit03" localSheetId="32">#REF!</definedName>
    <definedName name="___________________________________________________________________________hit03">#REF!</definedName>
    <definedName name="__________________________________________________________________________hit03" localSheetId="32">#REF!</definedName>
    <definedName name="__________________________________________________________________________hit03">#REF!</definedName>
    <definedName name="_________________________________________________________________________hit03" localSheetId="32">#REF!</definedName>
    <definedName name="_________________________________________________________________________hit03">#REF!</definedName>
    <definedName name="________________________________________________________________________hit03" localSheetId="32">#REF!</definedName>
    <definedName name="________________________________________________________________________hit03">#REF!</definedName>
    <definedName name="_______________________________________________________________________hit03" localSheetId="32">#REF!</definedName>
    <definedName name="_______________________________________________________________________hit03">#REF!</definedName>
    <definedName name="______________________________________________________________________hit03" localSheetId="32">#REF!</definedName>
    <definedName name="______________________________________________________________________hit03">#REF!</definedName>
    <definedName name="_____________________________________________________________________hit03" localSheetId="32">#REF!</definedName>
    <definedName name="_____________________________________________________________________hit03">#REF!</definedName>
    <definedName name="____________________________________________________________________hit03" localSheetId="32">#REF!</definedName>
    <definedName name="____________________________________________________________________hit03">#REF!</definedName>
    <definedName name="___________________________________________________________________hit03" localSheetId="32">#REF!</definedName>
    <definedName name="___________________________________________________________________hit03">#REF!</definedName>
    <definedName name="__________________________________________________________________hit03" localSheetId="32">#REF!</definedName>
    <definedName name="__________________________________________________________________hit03">#REF!</definedName>
    <definedName name="_________________________________________________________________hit03" localSheetId="32">#REF!</definedName>
    <definedName name="_________________________________________________________________hit03">#REF!</definedName>
    <definedName name="________________________________________________________________hit03" localSheetId="32">#REF!</definedName>
    <definedName name="________________________________________________________________hit03">#REF!</definedName>
    <definedName name="_______________________________________________________________hit03" localSheetId="32">#REF!</definedName>
    <definedName name="_______________________________________________________________hit03">#REF!</definedName>
    <definedName name="______________________________________________________________hit03" localSheetId="32">#REF!</definedName>
    <definedName name="______________________________________________________________hit03">#REF!</definedName>
    <definedName name="_____________________________________________________________hit03" localSheetId="32">#REF!</definedName>
    <definedName name="_____________________________________________________________hit03">#REF!</definedName>
    <definedName name="____________________________________________________________hit03" localSheetId="32">#REF!</definedName>
    <definedName name="____________________________________________________________hit03">#REF!</definedName>
    <definedName name="___________________________________________________________hit03" localSheetId="32">#REF!</definedName>
    <definedName name="___________________________________________________________hit03">#REF!</definedName>
    <definedName name="__________________________________________________________hit03" localSheetId="32">#REF!</definedName>
    <definedName name="__________________________________________________________hit03">#REF!</definedName>
    <definedName name="_________________________________________________________hit03" localSheetId="32">#REF!</definedName>
    <definedName name="_________________________________________________________hit03">#REF!</definedName>
    <definedName name="________________________________________________________hit03" localSheetId="32">#REF!</definedName>
    <definedName name="________________________________________________________hit03">#REF!</definedName>
    <definedName name="_______________________________________________________hit03" localSheetId="32">#REF!</definedName>
    <definedName name="_______________________________________________________hit03">#REF!</definedName>
    <definedName name="______________________________________________________hit03" localSheetId="32">#REF!</definedName>
    <definedName name="______________________________________________________hit03">#REF!</definedName>
    <definedName name="_____________________________________________________hit03" localSheetId="32">#REF!</definedName>
    <definedName name="_____________________________________________________hit03">#REF!</definedName>
    <definedName name="____________________________________________________hit03" localSheetId="32">#REF!</definedName>
    <definedName name="____________________________________________________hit03">#REF!</definedName>
    <definedName name="___________________________________________________hit03" localSheetId="32">#REF!</definedName>
    <definedName name="___________________________________________________hit03">#REF!</definedName>
    <definedName name="__________________________________________________hit03" localSheetId="32">#REF!</definedName>
    <definedName name="__________________________________________________hit03">#REF!</definedName>
    <definedName name="_________________________________________________hit03" localSheetId="32">#REF!</definedName>
    <definedName name="_________________________________________________hit03">#REF!</definedName>
    <definedName name="________________________________________________hit03" localSheetId="32">#REF!</definedName>
    <definedName name="________________________________________________hit03">#REF!</definedName>
    <definedName name="_______________________________________________hit03" localSheetId="32">#REF!</definedName>
    <definedName name="_______________________________________________hit03">#REF!</definedName>
    <definedName name="______________________________________________hit03" localSheetId="32">#REF!</definedName>
    <definedName name="______________________________________________hit03">#REF!</definedName>
    <definedName name="_____________________________________________hit03" localSheetId="32">#REF!</definedName>
    <definedName name="_____________________________________________hit03">#REF!</definedName>
    <definedName name="____________________________________________hit03" localSheetId="32">#REF!</definedName>
    <definedName name="____________________________________________hit03">#REF!</definedName>
    <definedName name="___________________________________________hit03" localSheetId="32">#REF!</definedName>
    <definedName name="___________________________________________hit03">#REF!</definedName>
    <definedName name="__________________________________________hit03" localSheetId="32">#REF!</definedName>
    <definedName name="__________________________________________hit03">#REF!</definedName>
    <definedName name="_________________________________________hit03" localSheetId="32">#REF!</definedName>
    <definedName name="_________________________________________hit03">#REF!</definedName>
    <definedName name="________________________________________hit03" localSheetId="32">#REF!</definedName>
    <definedName name="________________________________________hit03">#REF!</definedName>
    <definedName name="_______________________________________hit03" localSheetId="32">#REF!</definedName>
    <definedName name="_______________________________________hit03">#REF!</definedName>
    <definedName name="______________________________________hit03" localSheetId="32">#REF!</definedName>
    <definedName name="______________________________________hit03">#REF!</definedName>
    <definedName name="_____________________________________hit03" localSheetId="32">#REF!</definedName>
    <definedName name="_____________________________________hit03">#REF!</definedName>
    <definedName name="____________________________________hit03" localSheetId="32">#REF!</definedName>
    <definedName name="____________________________________hit03">#REF!</definedName>
    <definedName name="___________________________________hit03" localSheetId="32">#REF!</definedName>
    <definedName name="___________________________________hit03">#REF!</definedName>
    <definedName name="__________________________________hit03" localSheetId="32">#REF!</definedName>
    <definedName name="__________________________________hit03">#REF!</definedName>
    <definedName name="_________________________________hit03" localSheetId="32">#REF!</definedName>
    <definedName name="_________________________________hit03">#REF!</definedName>
    <definedName name="________________________________hit03" localSheetId="32">#REF!</definedName>
    <definedName name="________________________________hit03">#REF!</definedName>
    <definedName name="_______________________________hit03" localSheetId="32">#REF!</definedName>
    <definedName name="_______________________________hit03">#REF!</definedName>
    <definedName name="______________________________hit03" localSheetId="32">#REF!</definedName>
    <definedName name="______________________________hit03">#REF!</definedName>
    <definedName name="_____________________________hit03" localSheetId="32">#REF!</definedName>
    <definedName name="_____________________________hit03">#REF!</definedName>
    <definedName name="____________________________hit03" localSheetId="32">#REF!</definedName>
    <definedName name="____________________________hit03">#REF!</definedName>
    <definedName name="___________________________hit03" localSheetId="32">#REF!</definedName>
    <definedName name="___________________________hit03">#REF!</definedName>
    <definedName name="__________________________hit03" localSheetId="32">#REF!</definedName>
    <definedName name="__________________________hit03">#REF!</definedName>
    <definedName name="_________________________hit03" localSheetId="32">#REF!</definedName>
    <definedName name="_________________________hit03">#REF!</definedName>
    <definedName name="________________________hit03" localSheetId="32">#REF!</definedName>
    <definedName name="________________________hit03">#REF!</definedName>
    <definedName name="_______________________hit03" localSheetId="32">#REF!</definedName>
    <definedName name="_______________________hit03">#REF!</definedName>
    <definedName name="______________________hit03" localSheetId="32">#REF!</definedName>
    <definedName name="______________________hit03">#REF!</definedName>
    <definedName name="_____________________hit03" localSheetId="32">#REF!</definedName>
    <definedName name="_____________________hit03">#REF!</definedName>
    <definedName name="____________________hit03" localSheetId="32">#REF!</definedName>
    <definedName name="____________________hit03">#REF!</definedName>
    <definedName name="___________________hit03" localSheetId="32">#REF!</definedName>
    <definedName name="___________________hit03">#REF!</definedName>
    <definedName name="__________________hit03" localSheetId="32">#REF!</definedName>
    <definedName name="__________________hit03">#REF!</definedName>
    <definedName name="_________________hit03" localSheetId="32">#REF!</definedName>
    <definedName name="_________________hit03">#REF!</definedName>
    <definedName name="________________hit03" localSheetId="32">#REF!</definedName>
    <definedName name="________________hit03">#REF!</definedName>
    <definedName name="_______________hit03" localSheetId="32">#REF!</definedName>
    <definedName name="_______________hit03">#REF!</definedName>
    <definedName name="______________hit03" localSheetId="32">#REF!</definedName>
    <definedName name="______________hit03">#REF!</definedName>
    <definedName name="_____________hit03" localSheetId="32">#REF!</definedName>
    <definedName name="_____________hit03">#REF!</definedName>
    <definedName name="____________hit03" localSheetId="32">#REF!</definedName>
    <definedName name="____________hit03">#REF!</definedName>
    <definedName name="___________hit03" localSheetId="32">#REF!</definedName>
    <definedName name="___________hit03">#REF!</definedName>
    <definedName name="__________hit03" localSheetId="32">#REF!</definedName>
    <definedName name="__________hit03">#REF!</definedName>
    <definedName name="_________hit03" localSheetId="32">#REF!</definedName>
    <definedName name="_________hit03">#REF!</definedName>
    <definedName name="________hit03" localSheetId="32">#REF!</definedName>
    <definedName name="________hit03">#REF!</definedName>
    <definedName name="_______hit03" localSheetId="32">#REF!</definedName>
    <definedName name="_______hit03">#REF!</definedName>
    <definedName name="______hit03" localSheetId="32">#REF!</definedName>
    <definedName name="______hit03">#REF!</definedName>
    <definedName name="_____hit03" localSheetId="32">#REF!</definedName>
    <definedName name="_____hit03">#REF!</definedName>
    <definedName name="____hit03" localSheetId="32">#REF!</definedName>
    <definedName name="____hit03">#REF!</definedName>
    <definedName name="___hit03" localSheetId="32">#REF!</definedName>
    <definedName name="___hit03">#REF!</definedName>
    <definedName name="__hit03" localSheetId="32">#REF!</definedName>
    <definedName name="__hit03">#REF!</definedName>
    <definedName name="_4._sz._sor_részletezése" localSheetId="32">#REF!</definedName>
    <definedName name="_4._sz._sor_részletezése">#REF!</definedName>
    <definedName name="_ftn1" localSheetId="36">'13. sz. mell'!$A$27</definedName>
    <definedName name="_ftnref1" localSheetId="36">'13. sz. mell'!$A$18</definedName>
    <definedName name="_hit03" localSheetId="32">#REF!</definedName>
    <definedName name="_hit03">#REF!</definedName>
    <definedName name="a" localSheetId="32">#REF!</definedName>
    <definedName name="a">#REF!</definedName>
    <definedName name="_xlnm.Database" localSheetId="32">#REF!</definedName>
    <definedName name="_xlnm.Database">#REF!</definedName>
    <definedName name="asd" localSheetId="32">#REF!</definedName>
    <definedName name="asd">#REF!</definedName>
    <definedName name="bér2004" localSheetId="32">#REF!</definedName>
    <definedName name="bér2004">#REF!</definedName>
    <definedName name="bér2004_1" localSheetId="32">#REF!</definedName>
    <definedName name="bér2004_1">#REF!</definedName>
    <definedName name="bér2004_13" localSheetId="32">#REF!</definedName>
    <definedName name="bér2004_13">#REF!</definedName>
    <definedName name="bér2004_14" localSheetId="32">#REF!</definedName>
    <definedName name="bér2004_14">#REF!</definedName>
    <definedName name="bér2004_18" localSheetId="32">#REF!</definedName>
    <definedName name="bér2004_18">#REF!</definedName>
    <definedName name="bér2004_19" localSheetId="32">#REF!</definedName>
    <definedName name="bér2004_19">#REF!</definedName>
    <definedName name="bér2004_2" localSheetId="32">#REF!</definedName>
    <definedName name="bér2004_2">#REF!</definedName>
    <definedName name="bér2004_20" localSheetId="32">#REF!</definedName>
    <definedName name="bér2004_20">#REF!</definedName>
    <definedName name="bér2004_22" localSheetId="32">#REF!</definedName>
    <definedName name="bér2004_22">#REF!</definedName>
    <definedName name="bér2004_23" localSheetId="32">#REF!</definedName>
    <definedName name="bér2004_23">#REF!</definedName>
    <definedName name="bér2004_24" localSheetId="32">#REF!</definedName>
    <definedName name="bér2004_24">#REF!</definedName>
    <definedName name="bér2004_27" localSheetId="32">#REF!</definedName>
    <definedName name="bér2004_27">#REF!</definedName>
    <definedName name="bér2004_3" localSheetId="32">#REF!</definedName>
    <definedName name="bér2004_3">#REF!</definedName>
    <definedName name="bér2004_4" localSheetId="32">#REF!</definedName>
    <definedName name="bér2004_4">#REF!</definedName>
    <definedName name="bér2004_6" localSheetId="32">#REF!</definedName>
    <definedName name="bér2004_6">#REF!</definedName>
    <definedName name="bér2004_7" localSheetId="32">#REF!</definedName>
    <definedName name="bér2004_7">#REF!</definedName>
    <definedName name="bér2004_8" localSheetId="32">#REF!</definedName>
    <definedName name="bér2004_8">#REF!</definedName>
    <definedName name="bér2004_9" localSheetId="32">#REF!</definedName>
    <definedName name="bér2004_9">#REF!</definedName>
    <definedName name="bérzár2005" localSheetId="32">#REF!</definedName>
    <definedName name="bérzár2005">#REF!</definedName>
    <definedName name="brutto" localSheetId="32">#REF!</definedName>
    <definedName name="brutto">#REF!</definedName>
    <definedName name="címrend" localSheetId="32">#REF!</definedName>
    <definedName name="címrend">#REF!</definedName>
    <definedName name="css" localSheetId="32">#REF!</definedName>
    <definedName name="css">#REF!</definedName>
    <definedName name="css_1" localSheetId="32">#REF!</definedName>
    <definedName name="css_1">#REF!</definedName>
    <definedName name="css_14" localSheetId="32">#REF!</definedName>
    <definedName name="css_14">#REF!</definedName>
    <definedName name="css_18" localSheetId="32">#REF!</definedName>
    <definedName name="css_18">#REF!</definedName>
    <definedName name="css_19" localSheetId="32">#REF!</definedName>
    <definedName name="css_19">#REF!</definedName>
    <definedName name="css_2" localSheetId="32">#REF!</definedName>
    <definedName name="css_2">#REF!</definedName>
    <definedName name="css_20" localSheetId="32">#REF!</definedName>
    <definedName name="css_20">#REF!</definedName>
    <definedName name="css_22" localSheetId="32">#REF!</definedName>
    <definedName name="css_22">#REF!</definedName>
    <definedName name="css_23" localSheetId="32">#REF!</definedName>
    <definedName name="css_23">#REF!</definedName>
    <definedName name="css_27" localSheetId="32">#REF!</definedName>
    <definedName name="css_27">#REF!</definedName>
    <definedName name="css_3" localSheetId="32">#REF!</definedName>
    <definedName name="css_3">#REF!</definedName>
    <definedName name="css_4" localSheetId="32">#REF!</definedName>
    <definedName name="css_4">#REF!</definedName>
    <definedName name="css_6" localSheetId="32">#REF!</definedName>
    <definedName name="css_6">#REF!</definedName>
    <definedName name="css_7" localSheetId="32">#REF!</definedName>
    <definedName name="css_7">#REF!</definedName>
    <definedName name="css_8" localSheetId="32">#REF!</definedName>
    <definedName name="css_8">#REF!</definedName>
    <definedName name="css_9" localSheetId="32">#REF!</definedName>
    <definedName name="css_9">#REF!</definedName>
    <definedName name="css_k" localSheetId="33">[1]Családsegítés!$C$27:$C$86</definedName>
    <definedName name="css_k" localSheetId="32">[1]Családsegítés!$C$27:$C$86</definedName>
    <definedName name="css_k">[2]Családsegítés!$C$27:$C$86</definedName>
    <definedName name="css_k_" localSheetId="32">#REF!</definedName>
    <definedName name="css_k_">#REF!</definedName>
    <definedName name="css_k__1" localSheetId="32">#REF!</definedName>
    <definedName name="css_k__1">#REF!</definedName>
    <definedName name="css_k__14" localSheetId="32">#REF!</definedName>
    <definedName name="css_k__14">#REF!</definedName>
    <definedName name="css_k__18" localSheetId="32">#REF!</definedName>
    <definedName name="css_k__18">#REF!</definedName>
    <definedName name="css_k__19" localSheetId="32">#REF!</definedName>
    <definedName name="css_k__19">#REF!</definedName>
    <definedName name="css_k__2" localSheetId="32">#REF!</definedName>
    <definedName name="css_k__2">#REF!</definedName>
    <definedName name="css_k__20" localSheetId="32">#REF!</definedName>
    <definedName name="css_k__20">#REF!</definedName>
    <definedName name="css_k__22" localSheetId="32">#REF!</definedName>
    <definedName name="css_k__22">#REF!</definedName>
    <definedName name="css_k__23" localSheetId="32">#REF!</definedName>
    <definedName name="css_k__23">#REF!</definedName>
    <definedName name="css_k__27" localSheetId="32">#REF!</definedName>
    <definedName name="css_k__27">#REF!</definedName>
    <definedName name="css_k__3" localSheetId="32">#REF!</definedName>
    <definedName name="css_k__3">#REF!</definedName>
    <definedName name="css_k__4" localSheetId="32">#REF!</definedName>
    <definedName name="css_k__4">#REF!</definedName>
    <definedName name="css_k__6" localSheetId="32">#REF!</definedName>
    <definedName name="css_k__6">#REF!</definedName>
    <definedName name="css_k__7" localSheetId="32">#REF!</definedName>
    <definedName name="css_k__7">#REF!</definedName>
    <definedName name="css_k__8" localSheetId="32">#REF!</definedName>
    <definedName name="css_k__8">#REF!</definedName>
    <definedName name="css_k__9" localSheetId="32">#REF!</definedName>
    <definedName name="css_k__9">#REF!</definedName>
    <definedName name="dologi" localSheetId="32">#REF!</definedName>
    <definedName name="dologi">#REF!</definedName>
    <definedName name="dologi_1" localSheetId="32">#REF!</definedName>
    <definedName name="dologi_1">#REF!</definedName>
    <definedName name="dologi_14" localSheetId="32">#REF!</definedName>
    <definedName name="dologi_14">#REF!</definedName>
    <definedName name="dologi_18" localSheetId="32">#REF!</definedName>
    <definedName name="dologi_18">#REF!</definedName>
    <definedName name="dologi_19" localSheetId="32">#REF!</definedName>
    <definedName name="dologi_19">#REF!</definedName>
    <definedName name="dologi_2" localSheetId="32">#REF!</definedName>
    <definedName name="dologi_2">#REF!</definedName>
    <definedName name="dologi_20" localSheetId="32">#REF!</definedName>
    <definedName name="dologi_20">#REF!</definedName>
    <definedName name="dologi_21" localSheetId="32">#REF!</definedName>
    <definedName name="dologi_21">#REF!</definedName>
    <definedName name="dologi_22" localSheetId="32">#REF!</definedName>
    <definedName name="dologi_22">#REF!</definedName>
    <definedName name="dologi_23" localSheetId="32">#REF!</definedName>
    <definedName name="dologi_23">#REF!</definedName>
    <definedName name="dologi_24" localSheetId="32">#REF!</definedName>
    <definedName name="dologi_24">#REF!</definedName>
    <definedName name="dologi_3" localSheetId="32">#REF!</definedName>
    <definedName name="dologi_3">#REF!</definedName>
    <definedName name="dologi_6" localSheetId="32">#REF!</definedName>
    <definedName name="dologi_6">#REF!</definedName>
    <definedName name="dologi_7" localSheetId="32">#REF!</definedName>
    <definedName name="dologi_7">#REF!</definedName>
    <definedName name="dologi_9" localSheetId="32">#REF!</definedName>
    <definedName name="dologi_9">#REF!</definedName>
    <definedName name="Excel_BuiltIn_Database" localSheetId="32">#REF!</definedName>
    <definedName name="Excel_BuiltIn_Database">#REF!</definedName>
    <definedName name="Excel_BuiltIn_Print_Titles" localSheetId="32">#REF!</definedName>
    <definedName name="Excel_BuiltIn_Print_Titles">#REF!</definedName>
    <definedName name="Excel_BuiltIn_Print_Titles_13" localSheetId="32">#REF!</definedName>
    <definedName name="Excel_BuiltIn_Print_Titles_13">#REF!</definedName>
    <definedName name="Excel_BuiltIn_Print_Titles_21" localSheetId="32">#REF!</definedName>
    <definedName name="Excel_BuiltIn_Print_Titles_21">#REF!</definedName>
    <definedName name="Excel_BuiltIn_Print_Titles_22" localSheetId="32">#REF!</definedName>
    <definedName name="Excel_BuiltIn_Print_Titles_22">#REF!</definedName>
    <definedName name="Excel_BuiltIn_Print_Titles_24" localSheetId="32">#REF!</definedName>
    <definedName name="Excel_BuiltIn_Print_Titles_24">#REF!</definedName>
    <definedName name="Excel_BuiltIn_Print_Titles_7" localSheetId="32">#REF!</definedName>
    <definedName name="Excel_BuiltIn_Print_Titles_7">#REF!</definedName>
    <definedName name="felúj.márc" localSheetId="32">#REF!</definedName>
    <definedName name="felúj.márc">#REF!</definedName>
    <definedName name="Felúj0531" localSheetId="32">#REF!</definedName>
    <definedName name="Felúj0531">#REF!</definedName>
    <definedName name="Felújítás" localSheetId="32">#REF!</definedName>
    <definedName name="Felújítás">#REF!</definedName>
    <definedName name="felújításjuniusmód" localSheetId="32">#REF!</definedName>
    <definedName name="felújításjuniusmód">#REF!</definedName>
    <definedName name="felújításjuniusmód_1" localSheetId="32">#REF!</definedName>
    <definedName name="felújításjuniusmód_1">#REF!</definedName>
    <definedName name="felújításjuniusmód_14" localSheetId="32">#REF!</definedName>
    <definedName name="felújításjuniusmód_14">#REF!</definedName>
    <definedName name="felújításjuniusmód_17" localSheetId="32">#REF!</definedName>
    <definedName name="felújításjuniusmód_17">#REF!</definedName>
    <definedName name="felújításjuniusmód_18" localSheetId="32">#REF!</definedName>
    <definedName name="felújításjuniusmód_18">#REF!</definedName>
    <definedName name="felújításjuniusmód_19" localSheetId="32">#REF!</definedName>
    <definedName name="felújításjuniusmód_19">#REF!</definedName>
    <definedName name="felújításjuniusmód_2" localSheetId="32">#REF!</definedName>
    <definedName name="felújításjuniusmód_2">#REF!</definedName>
    <definedName name="felújításjuniusmód_20" localSheetId="32">#REF!</definedName>
    <definedName name="felújításjuniusmód_20">#REF!</definedName>
    <definedName name="felújításjuniusmód_22" localSheetId="32">#REF!</definedName>
    <definedName name="felújításjuniusmód_22">#REF!</definedName>
    <definedName name="felújításjuniusmód_23" localSheetId="32">#REF!</definedName>
    <definedName name="felújításjuniusmód_23">#REF!</definedName>
    <definedName name="felújításjuniusmód_24" localSheetId="32">#REF!</definedName>
    <definedName name="felújításjuniusmód_24">#REF!</definedName>
    <definedName name="felújításjuniusmód_3" localSheetId="32">#REF!</definedName>
    <definedName name="felújításjuniusmód_3">#REF!</definedName>
    <definedName name="felújításjuniusmód_6" localSheetId="32">#REF!</definedName>
    <definedName name="felújításjuniusmód_6">#REF!</definedName>
    <definedName name="felújításjuniusmód_7" localSheetId="32">#REF!</definedName>
    <definedName name="felújításjuniusmód_7">#REF!</definedName>
    <definedName name="felújításjuniusmód_9" localSheetId="32">#REF!</definedName>
    <definedName name="felújításjuniusmód_9">#REF!</definedName>
    <definedName name="gyj" localSheetId="32">#REF!</definedName>
    <definedName name="gyj">#REF!</definedName>
    <definedName name="gyj_1" localSheetId="32">#REF!</definedName>
    <definedName name="gyj_1">#REF!</definedName>
    <definedName name="gyj_14" localSheetId="32">#REF!</definedName>
    <definedName name="gyj_14">#REF!</definedName>
    <definedName name="gyj_18" localSheetId="32">#REF!</definedName>
    <definedName name="gyj_18">#REF!</definedName>
    <definedName name="gyj_19" localSheetId="32">#REF!</definedName>
    <definedName name="gyj_19">#REF!</definedName>
    <definedName name="gyj_2" localSheetId="32">#REF!</definedName>
    <definedName name="gyj_2">#REF!</definedName>
    <definedName name="gyj_20" localSheetId="32">#REF!</definedName>
    <definedName name="gyj_20">#REF!</definedName>
    <definedName name="gyj_22" localSheetId="32">#REF!</definedName>
    <definedName name="gyj_22">#REF!</definedName>
    <definedName name="gyj_23" localSheetId="32">#REF!</definedName>
    <definedName name="gyj_23">#REF!</definedName>
    <definedName name="gyj_27" localSheetId="32">#REF!</definedName>
    <definedName name="gyj_27">#REF!</definedName>
    <definedName name="gyj_3" localSheetId="32">#REF!</definedName>
    <definedName name="gyj_3">#REF!</definedName>
    <definedName name="gyj_4" localSheetId="32">#REF!</definedName>
    <definedName name="gyj_4">#REF!</definedName>
    <definedName name="gyj_6" localSheetId="32">#REF!</definedName>
    <definedName name="gyj_6">#REF!</definedName>
    <definedName name="gyj_7" localSheetId="32">#REF!</definedName>
    <definedName name="gyj_7">#REF!</definedName>
    <definedName name="gyj_8" localSheetId="32">#REF!</definedName>
    <definedName name="gyj_8">#REF!</definedName>
    <definedName name="gyj_9" localSheetId="32">#REF!</definedName>
    <definedName name="gyj_9">#REF!</definedName>
    <definedName name="gyj_k" localSheetId="33">[1]Gyermekjóléti!$C$27:$C$86</definedName>
    <definedName name="gyj_k" localSheetId="32">[1]Gyermekjóléti!$C$27:$C$86</definedName>
    <definedName name="gyj_k">[2]Gyermekjóléti!$C$27:$C$86</definedName>
    <definedName name="gyj_k_" localSheetId="32">#REF!</definedName>
    <definedName name="gyj_k_">#REF!</definedName>
    <definedName name="gyj_k__1" localSheetId="32">#REF!</definedName>
    <definedName name="gyj_k__1">#REF!</definedName>
    <definedName name="gyj_k__14" localSheetId="32">#REF!</definedName>
    <definedName name="gyj_k__14">#REF!</definedName>
    <definedName name="gyj_k__18" localSheetId="32">#REF!</definedName>
    <definedName name="gyj_k__18">#REF!</definedName>
    <definedName name="gyj_k__19" localSheetId="32">#REF!</definedName>
    <definedName name="gyj_k__19">#REF!</definedName>
    <definedName name="gyj_k__2" localSheetId="32">#REF!</definedName>
    <definedName name="gyj_k__2">#REF!</definedName>
    <definedName name="gyj_k__20" localSheetId="32">#REF!</definedName>
    <definedName name="gyj_k__20">#REF!</definedName>
    <definedName name="gyj_k__22" localSheetId="32">#REF!</definedName>
    <definedName name="gyj_k__22">#REF!</definedName>
    <definedName name="gyj_k__23" localSheetId="32">#REF!</definedName>
    <definedName name="gyj_k__23">#REF!</definedName>
    <definedName name="gyj_k__27" localSheetId="32">#REF!</definedName>
    <definedName name="gyj_k__27">#REF!</definedName>
    <definedName name="gyj_k__3" localSheetId="32">#REF!</definedName>
    <definedName name="gyj_k__3">#REF!</definedName>
    <definedName name="gyj_k__4" localSheetId="32">#REF!</definedName>
    <definedName name="gyj_k__4">#REF!</definedName>
    <definedName name="gyj_k__6" localSheetId="32">#REF!</definedName>
    <definedName name="gyj_k__6">#REF!</definedName>
    <definedName name="gyj_k__7" localSheetId="32">#REF!</definedName>
    <definedName name="gyj_k__7">#REF!</definedName>
    <definedName name="gyj_k__8" localSheetId="32">#REF!</definedName>
    <definedName name="gyj_k__8">#REF!</definedName>
    <definedName name="gyj_k__9" localSheetId="32">#REF!</definedName>
    <definedName name="gyj_k__9">#REF!</definedName>
    <definedName name="hitakt2008" localSheetId="32">#REF!</definedName>
    <definedName name="hitakt2008">#REF!</definedName>
    <definedName name="HJK" localSheetId="32">#REF!</definedName>
    <definedName name="HJK">#REF!</definedName>
    <definedName name="ifj_cél" localSheetId="32">#REF!</definedName>
    <definedName name="ifj_cél">#REF!</definedName>
    <definedName name="ifjcél" localSheetId="32">#REF!</definedName>
    <definedName name="ifjcél">#REF!</definedName>
    <definedName name="Kedvezm." localSheetId="32">#REF!</definedName>
    <definedName name="Kedvezm.">#REF!</definedName>
    <definedName name="Kedvezm._1" localSheetId="32">#REF!</definedName>
    <definedName name="Kedvezm._1">#REF!</definedName>
    <definedName name="Kedvezm._14" localSheetId="32">#REF!</definedName>
    <definedName name="Kedvezm._14">#REF!</definedName>
    <definedName name="Kedvezm._17" localSheetId="32">#REF!</definedName>
    <definedName name="Kedvezm._17">#REF!</definedName>
    <definedName name="Kedvezm._19" localSheetId="32">#REF!</definedName>
    <definedName name="Kedvezm._19">#REF!</definedName>
    <definedName name="Kedvezm._2" localSheetId="32">#REF!</definedName>
    <definedName name="Kedvezm._2">#REF!</definedName>
    <definedName name="Kedvezm._20" localSheetId="32">#REF!</definedName>
    <definedName name="Kedvezm._20">#REF!</definedName>
    <definedName name="Kedvezm._23" localSheetId="32">#REF!</definedName>
    <definedName name="Kedvezm._23">#REF!</definedName>
    <definedName name="Kedvezm._24" localSheetId="32">#REF!</definedName>
    <definedName name="Kedvezm._24">#REF!</definedName>
    <definedName name="Kedvezm._3" localSheetId="32">#REF!</definedName>
    <definedName name="Kedvezm._3">#REF!</definedName>
    <definedName name="Kedvezm._7" localSheetId="32">#REF!</definedName>
    <definedName name="Kedvezm._7">#REF!</definedName>
    <definedName name="Kedvezm._9" localSheetId="32">#REF!</definedName>
    <definedName name="Kedvezm._9">#REF!</definedName>
    <definedName name="kil" localSheetId="32">#REF!</definedName>
    <definedName name="kil">#REF!</definedName>
    <definedName name="kjz" localSheetId="32">#REF!</definedName>
    <definedName name="kjz">#REF!</definedName>
    <definedName name="kjz_1" localSheetId="32">#REF!</definedName>
    <definedName name="kjz_1">#REF!</definedName>
    <definedName name="kjz_14" localSheetId="32">#REF!</definedName>
    <definedName name="kjz_14">#REF!</definedName>
    <definedName name="kjz_18" localSheetId="32">#REF!</definedName>
    <definedName name="kjz_18">#REF!</definedName>
    <definedName name="kjz_19" localSheetId="32">#REF!</definedName>
    <definedName name="kjz_19">#REF!</definedName>
    <definedName name="kjz_2" localSheetId="32">#REF!</definedName>
    <definedName name="kjz_2">#REF!</definedName>
    <definedName name="kjz_20" localSheetId="32">#REF!</definedName>
    <definedName name="kjz_20">#REF!</definedName>
    <definedName name="kjz_22" localSheetId="32">#REF!</definedName>
    <definedName name="kjz_22">#REF!</definedName>
    <definedName name="kjz_23" localSheetId="32">#REF!</definedName>
    <definedName name="kjz_23">#REF!</definedName>
    <definedName name="kjz_27" localSheetId="32">#REF!</definedName>
    <definedName name="kjz_27">#REF!</definedName>
    <definedName name="kjz_3" localSheetId="32">#REF!</definedName>
    <definedName name="kjz_3">#REF!</definedName>
    <definedName name="kjz_4" localSheetId="32">#REF!</definedName>
    <definedName name="kjz_4">#REF!</definedName>
    <definedName name="kjz_6" localSheetId="32">#REF!</definedName>
    <definedName name="kjz_6">#REF!</definedName>
    <definedName name="kjz_7" localSheetId="32">#REF!</definedName>
    <definedName name="kjz_7">#REF!</definedName>
    <definedName name="kjz_8" localSheetId="32">#REF!</definedName>
    <definedName name="kjz_8">#REF!</definedName>
    <definedName name="kjz_9" localSheetId="32">#REF!</definedName>
    <definedName name="kjz_9">#REF!</definedName>
    <definedName name="kjz_k" localSheetId="33">[1]körjegyzőség!$C$9:$C$28</definedName>
    <definedName name="kjz_k" localSheetId="32">[1]körjegyzőség!$C$9:$C$28</definedName>
    <definedName name="kjz_k">[2]körjegyzőség!$C$9:$C$28</definedName>
    <definedName name="kjz_k_" localSheetId="32">#REF!</definedName>
    <definedName name="kjz_k_">#REF!</definedName>
    <definedName name="kjz_k__1" localSheetId="32">#REF!</definedName>
    <definedName name="kjz_k__1">#REF!</definedName>
    <definedName name="kjz_k__14" localSheetId="32">#REF!</definedName>
    <definedName name="kjz_k__14">#REF!</definedName>
    <definedName name="kjz_k__18" localSheetId="32">#REF!</definedName>
    <definedName name="kjz_k__18">#REF!</definedName>
    <definedName name="kjz_k__19" localSheetId="32">#REF!</definedName>
    <definedName name="kjz_k__19">#REF!</definedName>
    <definedName name="kjz_k__2" localSheetId="32">#REF!</definedName>
    <definedName name="kjz_k__2">#REF!</definedName>
    <definedName name="kjz_k__20" localSheetId="32">#REF!</definedName>
    <definedName name="kjz_k__20">#REF!</definedName>
    <definedName name="kjz_k__22" localSheetId="32">#REF!</definedName>
    <definedName name="kjz_k__22">#REF!</definedName>
    <definedName name="kjz_k__23" localSheetId="32">#REF!</definedName>
    <definedName name="kjz_k__23">#REF!</definedName>
    <definedName name="kjz_k__27" localSheetId="32">#REF!</definedName>
    <definedName name="kjz_k__27">#REF!</definedName>
    <definedName name="kjz_k__3" localSheetId="32">#REF!</definedName>
    <definedName name="kjz_k__3">#REF!</definedName>
    <definedName name="kjz_k__4" localSheetId="32">#REF!</definedName>
    <definedName name="kjz_k__4">#REF!</definedName>
    <definedName name="kjz_k__6" localSheetId="32">#REF!</definedName>
    <definedName name="kjz_k__6">#REF!</definedName>
    <definedName name="kjz_k__7" localSheetId="32">#REF!</definedName>
    <definedName name="kjz_k__7">#REF!</definedName>
    <definedName name="kjz_k__8" localSheetId="32">#REF!</definedName>
    <definedName name="kjz_k__8">#REF!</definedName>
    <definedName name="kjz_k__9" localSheetId="32">#REF!</definedName>
    <definedName name="kjz_k__9">#REF!</definedName>
    <definedName name="lok" localSheetId="32">#REF!</definedName>
    <definedName name="lok">#REF!</definedName>
    <definedName name="mell" localSheetId="32">#REF!</definedName>
    <definedName name="mell">#REF!</definedName>
    <definedName name="netto" localSheetId="32">#REF!</definedName>
    <definedName name="netto">#REF!</definedName>
    <definedName name="nev_c" localSheetId="32">#REF!</definedName>
    <definedName name="nev_c">#REF!</definedName>
    <definedName name="nev_c_1" localSheetId="32">#REF!</definedName>
    <definedName name="nev_c_1">#REF!</definedName>
    <definedName name="nev_c_14" localSheetId="32">#REF!</definedName>
    <definedName name="nev_c_14">#REF!</definedName>
    <definedName name="nev_c_18" localSheetId="32">#REF!</definedName>
    <definedName name="nev_c_18">#REF!</definedName>
    <definedName name="nev_c_19" localSheetId="32">#REF!</definedName>
    <definedName name="nev_c_19">#REF!</definedName>
    <definedName name="nev_c_2" localSheetId="32">#REF!</definedName>
    <definedName name="nev_c_2">#REF!</definedName>
    <definedName name="nev_c_20" localSheetId="32">#REF!</definedName>
    <definedName name="nev_c_20">#REF!</definedName>
    <definedName name="nev_c_22" localSheetId="32">#REF!</definedName>
    <definedName name="nev_c_22">#REF!</definedName>
    <definedName name="nev_c_23" localSheetId="32">#REF!</definedName>
    <definedName name="nev_c_23">#REF!</definedName>
    <definedName name="nev_c_27" localSheetId="32">#REF!</definedName>
    <definedName name="nev_c_27">#REF!</definedName>
    <definedName name="nev_c_3" localSheetId="32">#REF!</definedName>
    <definedName name="nev_c_3">#REF!</definedName>
    <definedName name="nev_c_4" localSheetId="32">#REF!</definedName>
    <definedName name="nev_c_4">#REF!</definedName>
    <definedName name="nev_c_6" localSheetId="32">#REF!</definedName>
    <definedName name="nev_c_6">#REF!</definedName>
    <definedName name="nev_c_7" localSheetId="32">#REF!</definedName>
    <definedName name="nev_c_7">#REF!</definedName>
    <definedName name="nev_c_8" localSheetId="32">#REF!</definedName>
    <definedName name="nev_c_8">#REF!</definedName>
    <definedName name="nev_c_9" localSheetId="32">#REF!</definedName>
    <definedName name="nev_c_9">#REF!</definedName>
    <definedName name="nev_g" localSheetId="32">#REF!</definedName>
    <definedName name="nev_g">#REF!</definedName>
    <definedName name="nev_g_1" localSheetId="32">#REF!</definedName>
    <definedName name="nev_g_1">#REF!</definedName>
    <definedName name="nev_g_14" localSheetId="32">#REF!</definedName>
    <definedName name="nev_g_14">#REF!</definedName>
    <definedName name="nev_g_18" localSheetId="32">#REF!</definedName>
    <definedName name="nev_g_18">#REF!</definedName>
    <definedName name="nev_g_19" localSheetId="32">#REF!</definedName>
    <definedName name="nev_g_19">#REF!</definedName>
    <definedName name="nev_g_2" localSheetId="32">#REF!</definedName>
    <definedName name="nev_g_2">#REF!</definedName>
    <definedName name="nev_g_20" localSheetId="32">#REF!</definedName>
    <definedName name="nev_g_20">#REF!</definedName>
    <definedName name="nev_g_22" localSheetId="32">#REF!</definedName>
    <definedName name="nev_g_22">#REF!</definedName>
    <definedName name="nev_g_23" localSheetId="32">#REF!</definedName>
    <definedName name="nev_g_23">#REF!</definedName>
    <definedName name="nev_g_27" localSheetId="32">#REF!</definedName>
    <definedName name="nev_g_27">#REF!</definedName>
    <definedName name="nev_g_3" localSheetId="32">#REF!</definedName>
    <definedName name="nev_g_3">#REF!</definedName>
    <definedName name="nev_g_4" localSheetId="32">#REF!</definedName>
    <definedName name="nev_g_4">#REF!</definedName>
    <definedName name="nev_g_6" localSheetId="32">#REF!</definedName>
    <definedName name="nev_g_6">#REF!</definedName>
    <definedName name="nev_g_7" localSheetId="32">#REF!</definedName>
    <definedName name="nev_g_7">#REF!</definedName>
    <definedName name="nev_g_8" localSheetId="32">#REF!</definedName>
    <definedName name="nev_g_8">#REF!</definedName>
    <definedName name="nev_g_9" localSheetId="32">#REF!</definedName>
    <definedName name="nev_g_9">#REF!</definedName>
    <definedName name="nev_k" localSheetId="32">#REF!</definedName>
    <definedName name="nev_k">#REF!</definedName>
    <definedName name="nev_k_1" localSheetId="32">#REF!</definedName>
    <definedName name="nev_k_1">#REF!</definedName>
    <definedName name="nev_k_14" localSheetId="32">#REF!</definedName>
    <definedName name="nev_k_14">#REF!</definedName>
    <definedName name="nev_k_18" localSheetId="32">#REF!</definedName>
    <definedName name="nev_k_18">#REF!</definedName>
    <definedName name="nev_k_19" localSheetId="32">#REF!</definedName>
    <definedName name="nev_k_19">#REF!</definedName>
    <definedName name="nev_k_2" localSheetId="32">#REF!</definedName>
    <definedName name="nev_k_2">#REF!</definedName>
    <definedName name="nev_k_20" localSheetId="32">#REF!</definedName>
    <definedName name="nev_k_20">#REF!</definedName>
    <definedName name="nev_k_22" localSheetId="32">#REF!</definedName>
    <definedName name="nev_k_22">#REF!</definedName>
    <definedName name="nev_k_23" localSheetId="32">#REF!</definedName>
    <definedName name="nev_k_23">#REF!</definedName>
    <definedName name="nev_k_27" localSheetId="32">#REF!</definedName>
    <definedName name="nev_k_27">#REF!</definedName>
    <definedName name="nev_k_3" localSheetId="32">#REF!</definedName>
    <definedName name="nev_k_3">#REF!</definedName>
    <definedName name="nev_k_4" localSheetId="32">#REF!</definedName>
    <definedName name="nev_k_4">#REF!</definedName>
    <definedName name="nev_k_6" localSheetId="32">#REF!</definedName>
    <definedName name="nev_k_6">#REF!</definedName>
    <definedName name="nev_k_7" localSheetId="32">#REF!</definedName>
    <definedName name="nev_k_7">#REF!</definedName>
    <definedName name="nev_k_8" localSheetId="32">#REF!</definedName>
    <definedName name="nev_k_8">#REF!</definedName>
    <definedName name="nev_k_9" localSheetId="32">#REF!</definedName>
    <definedName name="nev_k_9">#REF!</definedName>
    <definedName name="névsor" localSheetId="32">#REF!</definedName>
    <definedName name="névsor">#REF!</definedName>
    <definedName name="_xlnm.Print_Titles" localSheetId="34">'11. sz. mell'!$2:$6</definedName>
    <definedName name="_xlnm.Print_Titles" localSheetId="11">'6.1. sz. mell'!$1:$6</definedName>
    <definedName name="_xlnm.Print_Titles" localSheetId="12">'6.2. sz. mell'!$1:$6</definedName>
    <definedName name="_xlnm.Print_Titles" localSheetId="13">'6.3. sz. mell'!$1:$6</definedName>
    <definedName name="_xlnm.Print_Titles" localSheetId="14">'6.4. sz. mell'!$1:$6</definedName>
    <definedName name="_xlnm.Print_Titles" localSheetId="15">'7.1. sz. mell'!$1:$6</definedName>
    <definedName name="_xlnm.Print_Titles" localSheetId="16">'7.2. sz. mell'!$1:$6</definedName>
    <definedName name="_xlnm.Print_Titles" localSheetId="17">'7.3. sz. mell'!$1:$6</definedName>
    <definedName name="_xlnm.Print_Titles" localSheetId="18">'7.4. sz. mell'!$1:$6</definedName>
    <definedName name="_xlnm.Print_Titles" localSheetId="19">'8.1. sz. mell.'!$1:$6</definedName>
    <definedName name="_xlnm.Print_Titles" localSheetId="20">'8.1.1. sz. mell.'!$1:$6</definedName>
    <definedName name="_xlnm.Print_Titles" localSheetId="21">'8.1.2. sz. mell.'!$1:$6</definedName>
    <definedName name="_xlnm.Print_Titles" localSheetId="22">'8.1.3. sz. mell.'!$1:$6</definedName>
    <definedName name="_xlnm.Print_Titles" localSheetId="23">'8.2. sz. mell.'!$1:$6</definedName>
    <definedName name="_xlnm.Print_Titles" localSheetId="24">'8.2.1. sz. mell.'!$1:$6</definedName>
    <definedName name="_xlnm.Print_Titles" localSheetId="25">'8.2.2. sz. mell.'!$1:$6</definedName>
    <definedName name="_xlnm.Print_Titles" localSheetId="26">'8.2.3. sz. mell.'!$1:$6</definedName>
    <definedName name="_xlnm.Print_Titles" localSheetId="27">'8.3. sz. mell.'!$1:$6</definedName>
    <definedName name="_xlnm.Print_Titles" localSheetId="28">'8.3.1. sz. mell.'!$1:$6</definedName>
    <definedName name="_xlnm.Print_Titles" localSheetId="29">'8.3.2. sz. mell. '!$1:$6</definedName>
    <definedName name="_xlnm.Print_Titles" localSheetId="30">'8.3.3. sz. mell.'!$1:$6</definedName>
    <definedName name="_xlnm.Print_Titles">#REF!</definedName>
    <definedName name="_xlnm.Print_Area" localSheetId="1">'1.1.sz.mell.'!$A$1:$E$151</definedName>
    <definedName name="_xlnm.Print_Area" localSheetId="2">'1.2.sz.mell.'!$A$1:$E$151</definedName>
    <definedName name="_xlnm.Print_Area" localSheetId="3">'1.3.sz.mell.'!$A$1:$E$151</definedName>
    <definedName name="_xlnm.Print_Area" localSheetId="4">'1.4.sz.mell.'!$A$1:$E$151</definedName>
    <definedName name="_xlnm.Print_Area" localSheetId="39">'1.tájékoztató'!$A$1:$E$145</definedName>
    <definedName name="_xlnm.Print_Area" localSheetId="34">'11. sz. mell'!$A$1:$F$69</definedName>
    <definedName name="_xlnm.Print_Area" localSheetId="35">'12. sz. mell'!$A$1:$F$21</definedName>
    <definedName name="_xlnm.Print_Area" localSheetId="5">'2.1.sz.mell  '!$A$1:$J$32</definedName>
    <definedName name="ovd_cél" localSheetId="32">#REF!</definedName>
    <definedName name="ovd_cél">#REF!</definedName>
    <definedName name="tervmodAug">#REF!</definedName>
  </definedNames>
  <calcPr calcId="125725"/>
</workbook>
</file>

<file path=xl/calcChain.xml><?xml version="1.0" encoding="utf-8"?>
<calcChain xmlns="http://schemas.openxmlformats.org/spreadsheetml/2006/main">
  <c r="E1" i="129"/>
  <c r="A1" i="104"/>
  <c r="E1" i="128"/>
  <c r="E1" i="127"/>
  <c r="E1" i="126"/>
  <c r="E1" i="125"/>
  <c r="E1" i="124"/>
  <c r="E1" i="123"/>
  <c r="E1" i="122"/>
  <c r="E1" i="121"/>
  <c r="E1" i="120"/>
  <c r="E1" i="119"/>
  <c r="E1" i="84"/>
  <c r="E1" i="118"/>
  <c r="E1" i="117"/>
  <c r="E1" i="116"/>
  <c r="E1" i="79"/>
  <c r="E1" i="115"/>
  <c r="E1" i="114"/>
  <c r="E1" i="113"/>
  <c r="E1" i="3"/>
  <c r="N1" i="71"/>
  <c r="H1" i="64"/>
  <c r="H1" i="63"/>
  <c r="J1" i="61"/>
  <c r="J1" i="73"/>
  <c r="O8" i="134" l="1"/>
  <c r="N8"/>
  <c r="I8"/>
  <c r="H8"/>
  <c r="D11"/>
  <c r="F11"/>
  <c r="G11"/>
  <c r="G13" s="1"/>
  <c r="H11"/>
  <c r="J11"/>
  <c r="L11"/>
  <c r="C11"/>
  <c r="C13" s="1"/>
  <c r="E12"/>
  <c r="I12" s="1"/>
  <c r="K12" s="1"/>
  <c r="E10"/>
  <c r="M10" s="1"/>
  <c r="L13"/>
  <c r="J13"/>
  <c r="H13"/>
  <c r="F13"/>
  <c r="D13"/>
  <c r="E9"/>
  <c r="M9" s="1"/>
  <c r="E8"/>
  <c r="E7"/>
  <c r="C18" i="131"/>
  <c r="C21"/>
  <c r="C14"/>
  <c r="C9" i="130"/>
  <c r="C67"/>
  <c r="C63"/>
  <c r="C59"/>
  <c r="C54"/>
  <c r="C35"/>
  <c r="C34" s="1"/>
  <c r="C14"/>
  <c r="C24"/>
  <c r="E11" i="134" l="1"/>
  <c r="M12"/>
  <c r="E13"/>
  <c r="I7"/>
  <c r="M7"/>
  <c r="M11" s="1"/>
  <c r="M8"/>
  <c r="I9"/>
  <c r="K9" s="1"/>
  <c r="I10"/>
  <c r="C8" i="130"/>
  <c r="C51" s="1"/>
  <c r="C69" s="1"/>
  <c r="F10" i="133"/>
  <c r="G10"/>
  <c r="G12" s="1"/>
  <c r="H10"/>
  <c r="I10"/>
  <c r="I12" s="1"/>
  <c r="J10"/>
  <c r="L10"/>
  <c r="L12" s="1"/>
  <c r="M10"/>
  <c r="E10"/>
  <c r="E12" s="1"/>
  <c r="N11"/>
  <c r="K11"/>
  <c r="N9"/>
  <c r="K9"/>
  <c r="N8"/>
  <c r="K8"/>
  <c r="O8" s="1"/>
  <c r="N7"/>
  <c r="K7"/>
  <c r="O7" s="1"/>
  <c r="M12"/>
  <c r="J12"/>
  <c r="H12"/>
  <c r="F12"/>
  <c r="N6"/>
  <c r="K6"/>
  <c r="C15" i="132"/>
  <c r="C36"/>
  <c r="C23"/>
  <c r="C17"/>
  <c r="C28" s="1"/>
  <c r="C6"/>
  <c r="B3"/>
  <c r="B36"/>
  <c r="B23"/>
  <c r="B17"/>
  <c r="B28" s="1"/>
  <c r="B6"/>
  <c r="B15" s="1"/>
  <c r="B39" s="1"/>
  <c r="A1"/>
  <c r="K10" i="134" l="1"/>
  <c r="I11"/>
  <c r="K8"/>
  <c r="I13"/>
  <c r="K7"/>
  <c r="M13"/>
  <c r="N10" i="133"/>
  <c r="O9"/>
  <c r="K10"/>
  <c r="O11"/>
  <c r="K12"/>
  <c r="O6"/>
  <c r="N12"/>
  <c r="C39" i="132"/>
  <c r="K11" i="134" l="1"/>
  <c r="K13" s="1"/>
  <c r="O10" i="133"/>
  <c r="O12" l="1"/>
  <c r="K16" i="96" l="1"/>
  <c r="F15"/>
  <c r="K15" s="1"/>
  <c r="K14"/>
  <c r="F13"/>
  <c r="K13" s="1"/>
  <c r="K12"/>
  <c r="K11"/>
  <c r="K10"/>
  <c r="K9"/>
  <c r="F9"/>
  <c r="J8"/>
  <c r="I8"/>
  <c r="H8"/>
  <c r="G8"/>
  <c r="F8" l="1"/>
  <c r="K8" s="1"/>
  <c r="E18" i="131" l="1"/>
  <c r="E14"/>
  <c r="E21" s="1"/>
  <c r="F18"/>
  <c r="F14"/>
  <c r="F21" s="1"/>
  <c r="D14"/>
  <c r="D18"/>
  <c r="E67" i="130"/>
  <c r="F67"/>
  <c r="D67"/>
  <c r="F63"/>
  <c r="F59"/>
  <c r="F54"/>
  <c r="F45"/>
  <c r="F40"/>
  <c r="F35"/>
  <c r="F34"/>
  <c r="F29"/>
  <c r="F24"/>
  <c r="F19"/>
  <c r="F14"/>
  <c r="F9"/>
  <c r="F8" s="1"/>
  <c r="F51" s="1"/>
  <c r="F69" s="1"/>
  <c r="C10" i="99" l="1"/>
  <c r="C8" s="1"/>
  <c r="C32" s="1"/>
  <c r="D10" l="1"/>
  <c r="D8" s="1"/>
  <c r="D32" s="1"/>
  <c r="C10" i="106"/>
  <c r="C9"/>
  <c r="C11" s="1"/>
  <c r="C6"/>
  <c r="E27" i="95"/>
  <c r="C33"/>
  <c r="C1" i="106"/>
  <c r="F1" i="105"/>
  <c r="A2"/>
  <c r="F8" i="64"/>
  <c r="C12" i="106" l="1"/>
  <c r="E20" i="73"/>
  <c r="E21"/>
  <c r="I25" i="61"/>
  <c r="I21"/>
  <c r="I8"/>
  <c r="I6"/>
  <c r="E9"/>
  <c r="E8"/>
  <c r="E6"/>
  <c r="I26" i="73"/>
  <c r="I7"/>
  <c r="I8"/>
  <c r="I9"/>
  <c r="I10"/>
  <c r="I11"/>
  <c r="I6"/>
  <c r="E135" i="1"/>
  <c r="E145" s="1"/>
  <c r="E146" s="1"/>
  <c r="E139"/>
  <c r="E137"/>
  <c r="E126"/>
  <c r="E127"/>
  <c r="E92"/>
  <c r="E125"/>
  <c r="E109"/>
  <c r="E96"/>
  <c r="E97"/>
  <c r="E95"/>
  <c r="E94"/>
  <c r="E93"/>
  <c r="E12" i="73"/>
  <c r="E10"/>
  <c r="E9"/>
  <c r="E7"/>
  <c r="E6"/>
  <c r="E84" i="1"/>
  <c r="E85"/>
  <c r="E74"/>
  <c r="E71"/>
  <c r="E73"/>
  <c r="E72"/>
  <c r="E45"/>
  <c r="E61"/>
  <c r="E56"/>
  <c r="E59"/>
  <c r="E48"/>
  <c r="E47"/>
  <c r="E34"/>
  <c r="E36"/>
  <c r="E37"/>
  <c r="E38"/>
  <c r="E39"/>
  <c r="E40"/>
  <c r="E41"/>
  <c r="E42"/>
  <c r="E43"/>
  <c r="E44"/>
  <c r="E35"/>
  <c r="E27"/>
  <c r="E31"/>
  <c r="E32"/>
  <c r="E33"/>
  <c r="E30"/>
  <c r="E22"/>
  <c r="E23"/>
  <c r="E24"/>
  <c r="E25"/>
  <c r="E26"/>
  <c r="E21"/>
  <c r="E20" s="1"/>
  <c r="E18"/>
  <c r="E15"/>
  <c r="E14"/>
  <c r="E13" s="1"/>
  <c r="E9"/>
  <c r="E10"/>
  <c r="E6" s="1"/>
  <c r="E11"/>
  <c r="E12"/>
  <c r="E8"/>
  <c r="E7"/>
  <c r="E139" i="108"/>
  <c r="E137"/>
  <c r="E127"/>
  <c r="E111"/>
  <c r="E109"/>
  <c r="E96"/>
  <c r="E75"/>
  <c r="E49"/>
  <c r="E50"/>
  <c r="E57"/>
  <c r="E56" s="1"/>
  <c r="E58"/>
  <c r="E59"/>
  <c r="E48"/>
  <c r="E37"/>
  <c r="E38"/>
  <c r="E41"/>
  <c r="E42"/>
  <c r="E43"/>
  <c r="E44"/>
  <c r="E46"/>
  <c r="E45" s="1"/>
  <c r="E47"/>
  <c r="E28"/>
  <c r="E29"/>
  <c r="E31"/>
  <c r="E32"/>
  <c r="E8"/>
  <c r="E9"/>
  <c r="E10"/>
  <c r="E11"/>
  <c r="E12"/>
  <c r="E14"/>
  <c r="E15"/>
  <c r="E16"/>
  <c r="E17"/>
  <c r="E19"/>
  <c r="E21"/>
  <c r="E22"/>
  <c r="E23"/>
  <c r="E24"/>
  <c r="E25"/>
  <c r="E26"/>
  <c r="E7"/>
  <c r="E108"/>
  <c r="E110" i="1"/>
  <c r="E111"/>
  <c r="E112"/>
  <c r="E113"/>
  <c r="E114"/>
  <c r="E115"/>
  <c r="E116"/>
  <c r="E117"/>
  <c r="E118"/>
  <c r="E119"/>
  <c r="E120"/>
  <c r="E121"/>
  <c r="E123"/>
  <c r="E124"/>
  <c r="E126" i="108"/>
  <c r="E135"/>
  <c r="E74"/>
  <c r="E16" i="1"/>
  <c r="E17"/>
  <c r="E19"/>
  <c r="E6" i="108"/>
  <c r="E65" i="1"/>
  <c r="E68"/>
  <c r="E69"/>
  <c r="E70"/>
  <c r="E79"/>
  <c r="E80"/>
  <c r="E81"/>
  <c r="E35" i="111"/>
  <c r="E30"/>
  <c r="E96" i="112"/>
  <c r="E97"/>
  <c r="E94"/>
  <c r="E95"/>
  <c r="E93"/>
  <c r="E18"/>
  <c r="E149" i="3"/>
  <c r="E6" i="112"/>
  <c r="E13"/>
  <c r="E20"/>
  <c r="E28"/>
  <c r="E34"/>
  <c r="E45"/>
  <c r="E51"/>
  <c r="E56"/>
  <c r="E62"/>
  <c r="E66"/>
  <c r="E71"/>
  <c r="E74"/>
  <c r="E78"/>
  <c r="E84"/>
  <c r="E148" i="3"/>
  <c r="E76" i="113"/>
  <c r="E73"/>
  <c r="E74" i="3"/>
  <c r="E75"/>
  <c r="E77"/>
  <c r="E78"/>
  <c r="E79"/>
  <c r="E81"/>
  <c r="E82"/>
  <c r="E83"/>
  <c r="E84"/>
  <c r="E85"/>
  <c r="E125" i="113"/>
  <c r="E126" i="3"/>
  <c r="E127"/>
  <c r="E128"/>
  <c r="E130"/>
  <c r="E131"/>
  <c r="E132"/>
  <c r="E133"/>
  <c r="E134" i="113"/>
  <c r="E135" i="3"/>
  <c r="E136"/>
  <c r="E137"/>
  <c r="E138"/>
  <c r="E139"/>
  <c r="E141"/>
  <c r="E142"/>
  <c r="E143"/>
  <c r="E144"/>
  <c r="E35" i="113"/>
  <c r="E33" i="108" s="1"/>
  <c r="E32" i="113"/>
  <c r="E30" i="108" s="1"/>
  <c r="E106" i="114"/>
  <c r="E96"/>
  <c r="E96" i="113" s="1"/>
  <c r="E24" i="79"/>
  <c r="E47" i="116"/>
  <c r="E46"/>
  <c r="E94" i="108" s="1"/>
  <c r="E45" i="116"/>
  <c r="E57" i="79"/>
  <c r="E58" i="84"/>
  <c r="E57"/>
  <c r="E38" i="119"/>
  <c r="E54" i="108" s="1"/>
  <c r="E51" s="1"/>
  <c r="E37" i="119"/>
  <c r="E72" i="108" s="1"/>
  <c r="E32" i="84"/>
  <c r="E13" i="119"/>
  <c r="E39" i="108" s="1"/>
  <c r="E10" i="119"/>
  <c r="E36" i="108" s="1"/>
  <c r="E9" i="119"/>
  <c r="E35" i="108" s="1"/>
  <c r="E46" i="119"/>
  <c r="E14" i="120"/>
  <c r="E14" i="119" s="1"/>
  <c r="E47" i="120"/>
  <c r="E47" i="119" s="1"/>
  <c r="E47" i="84" s="1"/>
  <c r="E46" i="120"/>
  <c r="E45"/>
  <c r="E45" i="119" s="1"/>
  <c r="E58" i="122"/>
  <c r="E57"/>
  <c r="E14" i="123"/>
  <c r="E9"/>
  <c r="E47"/>
  <c r="E49" i="122"/>
  <c r="E51"/>
  <c r="E52"/>
  <c r="E58" i="126"/>
  <c r="E57"/>
  <c r="E92" i="3"/>
  <c r="E93"/>
  <c r="E94"/>
  <c r="E95"/>
  <c r="E97"/>
  <c r="E98"/>
  <c r="E99"/>
  <c r="E100"/>
  <c r="E101"/>
  <c r="E102"/>
  <c r="E103"/>
  <c r="E104"/>
  <c r="E105"/>
  <c r="E106"/>
  <c r="E107" i="113"/>
  <c r="E108" i="3"/>
  <c r="E109"/>
  <c r="E110"/>
  <c r="E111"/>
  <c r="E112"/>
  <c r="E113"/>
  <c r="E114"/>
  <c r="E115"/>
  <c r="E116"/>
  <c r="E117"/>
  <c r="E118"/>
  <c r="E119"/>
  <c r="E120"/>
  <c r="E122"/>
  <c r="E123"/>
  <c r="E91" i="114"/>
  <c r="E124" s="1"/>
  <c r="E146" s="1"/>
  <c r="E9" i="3"/>
  <c r="E10"/>
  <c r="E11"/>
  <c r="E12"/>
  <c r="E13"/>
  <c r="E14"/>
  <c r="E15" i="113"/>
  <c r="E15" i="3" s="1"/>
  <c r="E16"/>
  <c r="E17"/>
  <c r="E18"/>
  <c r="E19"/>
  <c r="E20"/>
  <c r="E21"/>
  <c r="E22" i="113"/>
  <c r="E20" i="108" s="1"/>
  <c r="E23" i="3"/>
  <c r="E24"/>
  <c r="E25"/>
  <c r="E26"/>
  <c r="E27"/>
  <c r="E28"/>
  <c r="E29" i="114"/>
  <c r="E29" i="113"/>
  <c r="E27" i="108" s="1"/>
  <c r="E31" i="3"/>
  <c r="E32"/>
  <c r="E33"/>
  <c r="E34"/>
  <c r="E35"/>
  <c r="E36" i="113"/>
  <c r="E36" i="3" s="1"/>
  <c r="E37"/>
  <c r="E38"/>
  <c r="E39"/>
  <c r="E40"/>
  <c r="E41"/>
  <c r="E42"/>
  <c r="E43"/>
  <c r="E44"/>
  <c r="E45"/>
  <c r="E46"/>
  <c r="E47" i="113"/>
  <c r="E48" i="3"/>
  <c r="E49"/>
  <c r="E50"/>
  <c r="E51"/>
  <c r="E52"/>
  <c r="E54"/>
  <c r="E55"/>
  <c r="E56"/>
  <c r="E57"/>
  <c r="E58" i="113"/>
  <c r="E59" i="3"/>
  <c r="E60"/>
  <c r="E61"/>
  <c r="E62"/>
  <c r="E8" i="113"/>
  <c r="E63" s="1"/>
  <c r="E65" i="3"/>
  <c r="E66"/>
  <c r="E67"/>
  <c r="E69"/>
  <c r="E70"/>
  <c r="E71"/>
  <c r="E72"/>
  <c r="E45" i="79"/>
  <c r="E46"/>
  <c r="E47"/>
  <c r="E48"/>
  <c r="E49"/>
  <c r="E50" i="116"/>
  <c r="E50" i="79" s="1"/>
  <c r="E51"/>
  <c r="E52"/>
  <c r="E53"/>
  <c r="E54"/>
  <c r="E44" i="118"/>
  <c r="E55" s="1"/>
  <c r="E44" i="116"/>
  <c r="E55" s="1"/>
  <c r="E9" i="79"/>
  <c r="E10"/>
  <c r="E11"/>
  <c r="E12"/>
  <c r="E13"/>
  <c r="E14"/>
  <c r="E15"/>
  <c r="E16"/>
  <c r="E17"/>
  <c r="E18"/>
  <c r="E19" i="118"/>
  <c r="E20" i="79"/>
  <c r="E21"/>
  <c r="E22"/>
  <c r="E23"/>
  <c r="E26"/>
  <c r="E27"/>
  <c r="E28"/>
  <c r="E30"/>
  <c r="E31"/>
  <c r="E32"/>
  <c r="E33"/>
  <c r="E34"/>
  <c r="E8" i="116"/>
  <c r="E37" i="79"/>
  <c r="E38"/>
  <c r="E46" i="84"/>
  <c r="E48"/>
  <c r="E49"/>
  <c r="E50" i="119"/>
  <c r="E50" i="84" s="1"/>
  <c r="E51"/>
  <c r="E52"/>
  <c r="E53"/>
  <c r="E54"/>
  <c r="E44" i="120"/>
  <c r="E55" s="1"/>
  <c r="E39" s="1"/>
  <c r="E9" i="84"/>
  <c r="E10"/>
  <c r="E11"/>
  <c r="E12"/>
  <c r="E13"/>
  <c r="E15"/>
  <c r="E16"/>
  <c r="E17"/>
  <c r="E18"/>
  <c r="E20"/>
  <c r="E21"/>
  <c r="E22"/>
  <c r="E23"/>
  <c r="E24"/>
  <c r="E26"/>
  <c r="E27"/>
  <c r="E28"/>
  <c r="E29" i="119"/>
  <c r="E29" i="84" s="1"/>
  <c r="E30"/>
  <c r="E31"/>
  <c r="E33"/>
  <c r="E34"/>
  <c r="E8" i="120"/>
  <c r="E35" s="1"/>
  <c r="E37" i="84"/>
  <c r="E38"/>
  <c r="E45" i="122"/>
  <c r="E46"/>
  <c r="E47"/>
  <c r="E48"/>
  <c r="E50" i="123"/>
  <c r="E53" i="122"/>
  <c r="E54"/>
  <c r="E44" i="124"/>
  <c r="E44" i="123"/>
  <c r="E55"/>
  <c r="E9" i="122"/>
  <c r="E10"/>
  <c r="E11"/>
  <c r="E12"/>
  <c r="E13"/>
  <c r="E14"/>
  <c r="E15"/>
  <c r="E16"/>
  <c r="E17"/>
  <c r="E18"/>
  <c r="E19" i="123"/>
  <c r="E18" i="108" s="1"/>
  <c r="E20" i="122"/>
  <c r="E21"/>
  <c r="E22"/>
  <c r="E23"/>
  <c r="E24"/>
  <c r="E26"/>
  <c r="E27"/>
  <c r="E28"/>
  <c r="E30"/>
  <c r="E31"/>
  <c r="E32"/>
  <c r="E33"/>
  <c r="E34"/>
  <c r="E8" i="124"/>
  <c r="E8" i="123"/>
  <c r="E35" s="1"/>
  <c r="E36"/>
  <c r="E36" i="122" s="1"/>
  <c r="E37"/>
  <c r="E38"/>
  <c r="E39"/>
  <c r="E45" i="126"/>
  <c r="E46"/>
  <c r="E47"/>
  <c r="E48"/>
  <c r="E49"/>
  <c r="E50" i="127"/>
  <c r="E51" i="126"/>
  <c r="E52"/>
  <c r="E53"/>
  <c r="E54"/>
  <c r="E44" i="127"/>
  <c r="E55" s="1"/>
  <c r="E55" i="126" s="1"/>
  <c r="E9"/>
  <c r="E10"/>
  <c r="E11"/>
  <c r="E12"/>
  <c r="E13"/>
  <c r="E14"/>
  <c r="E15"/>
  <c r="E16"/>
  <c r="E17"/>
  <c r="E18"/>
  <c r="E20"/>
  <c r="E21"/>
  <c r="E22"/>
  <c r="E23"/>
  <c r="E24"/>
  <c r="E26"/>
  <c r="E27"/>
  <c r="E28"/>
  <c r="E30"/>
  <c r="E31"/>
  <c r="E32"/>
  <c r="E33"/>
  <c r="E34"/>
  <c r="E8" i="127"/>
  <c r="E36"/>
  <c r="E36" i="126" s="1"/>
  <c r="E37"/>
  <c r="E38"/>
  <c r="E39"/>
  <c r="D13" i="113"/>
  <c r="D13" i="3"/>
  <c r="D27" i="108"/>
  <c r="C27"/>
  <c r="D11"/>
  <c r="D11" i="1"/>
  <c r="C11"/>
  <c r="C27"/>
  <c r="C13" i="113"/>
  <c r="C13" i="3"/>
  <c r="C11" i="108"/>
  <c r="D27" i="95"/>
  <c r="C27"/>
  <c r="E30" i="115"/>
  <c r="E30" i="3" s="1"/>
  <c r="E29" i="115"/>
  <c r="E29" i="3" s="1"/>
  <c r="D30" i="115"/>
  <c r="D29"/>
  <c r="C29"/>
  <c r="D29" i="114"/>
  <c r="C29"/>
  <c r="D29" i="113"/>
  <c r="C29"/>
  <c r="D29" i="3"/>
  <c r="C29"/>
  <c r="D28" i="112"/>
  <c r="D27" s="1"/>
  <c r="D61" s="1"/>
  <c r="C27"/>
  <c r="D27" i="111"/>
  <c r="E27"/>
  <c r="C27"/>
  <c r="B12" i="106"/>
  <c r="B6"/>
  <c r="C3" i="95"/>
  <c r="C88" s="1"/>
  <c r="A27" i="71"/>
  <c r="M6"/>
  <c r="F6"/>
  <c r="K6"/>
  <c r="D6"/>
  <c r="G3" i="63"/>
  <c r="E3"/>
  <c r="E3" i="64"/>
  <c r="D3" i="63"/>
  <c r="D3" i="64"/>
  <c r="D8" i="104"/>
  <c r="D38"/>
  <c r="D14"/>
  <c r="D18" i="103"/>
  <c r="D14"/>
  <c r="D9"/>
  <c r="D38" s="1"/>
  <c r="A1" i="98"/>
  <c r="J1"/>
  <c r="I1" i="97"/>
  <c r="L1" i="96"/>
  <c r="D3" i="95"/>
  <c r="D88"/>
  <c r="E134" i="115"/>
  <c r="D134"/>
  <c r="C134"/>
  <c r="E134" i="114"/>
  <c r="E134" i="3" s="1"/>
  <c r="D134" i="114"/>
  <c r="C134"/>
  <c r="D134" i="113"/>
  <c r="C134"/>
  <c r="D134" i="3"/>
  <c r="C134"/>
  <c r="A1" i="103"/>
  <c r="A2" i="131"/>
  <c r="A1" i="130"/>
  <c r="E63"/>
  <c r="D63"/>
  <c r="E59"/>
  <c r="D59"/>
  <c r="E54"/>
  <c r="D54"/>
  <c r="E45"/>
  <c r="D45"/>
  <c r="E40"/>
  <c r="D40"/>
  <c r="E35"/>
  <c r="E34" s="1"/>
  <c r="D35"/>
  <c r="D34" s="1"/>
  <c r="E29"/>
  <c r="D29"/>
  <c r="E24"/>
  <c r="D24"/>
  <c r="E19"/>
  <c r="D19"/>
  <c r="E14"/>
  <c r="D14"/>
  <c r="E9"/>
  <c r="D9"/>
  <c r="H2" i="97"/>
  <c r="G3"/>
  <c r="F3"/>
  <c r="E2"/>
  <c r="J3" i="96"/>
  <c r="I3"/>
  <c r="H3"/>
  <c r="G3"/>
  <c r="F2"/>
  <c r="E91" i="95"/>
  <c r="E107"/>
  <c r="E121"/>
  <c r="E125"/>
  <c r="E129"/>
  <c r="E134"/>
  <c r="E139"/>
  <c r="D139"/>
  <c r="C139"/>
  <c r="D134"/>
  <c r="C134"/>
  <c r="D129"/>
  <c r="C129"/>
  <c r="D125"/>
  <c r="D144" s="1"/>
  <c r="D145" s="1"/>
  <c r="C125"/>
  <c r="C144" s="1"/>
  <c r="D121"/>
  <c r="C121"/>
  <c r="D107"/>
  <c r="C107"/>
  <c r="D91"/>
  <c r="C91"/>
  <c r="E6"/>
  <c r="E71"/>
  <c r="E13"/>
  <c r="E61" s="1"/>
  <c r="E20"/>
  <c r="E34"/>
  <c r="E45"/>
  <c r="E51"/>
  <c r="E56"/>
  <c r="E62"/>
  <c r="E66"/>
  <c r="E74"/>
  <c r="E78"/>
  <c r="D78"/>
  <c r="C78"/>
  <c r="D74"/>
  <c r="C74"/>
  <c r="D71"/>
  <c r="C71"/>
  <c r="D66"/>
  <c r="C66"/>
  <c r="D62"/>
  <c r="C62"/>
  <c r="D56"/>
  <c r="C56"/>
  <c r="D51"/>
  <c r="C51"/>
  <c r="D45"/>
  <c r="C45"/>
  <c r="D34"/>
  <c r="C34"/>
  <c r="D20"/>
  <c r="C20"/>
  <c r="D13"/>
  <c r="C13"/>
  <c r="D6"/>
  <c r="D61"/>
  <c r="D84"/>
  <c r="D85"/>
  <c r="C6"/>
  <c r="E50" i="129"/>
  <c r="D50"/>
  <c r="C50"/>
  <c r="E44"/>
  <c r="E55"/>
  <c r="D44"/>
  <c r="D55"/>
  <c r="C44"/>
  <c r="C55"/>
  <c r="E36"/>
  <c r="D36"/>
  <c r="C36"/>
  <c r="E29"/>
  <c r="D29"/>
  <c r="C29"/>
  <c r="E25"/>
  <c r="D25"/>
  <c r="C25"/>
  <c r="E19"/>
  <c r="D19"/>
  <c r="C19"/>
  <c r="E8"/>
  <c r="E35"/>
  <c r="E40" s="1"/>
  <c r="D8"/>
  <c r="D35" s="1"/>
  <c r="D40" s="1"/>
  <c r="C8"/>
  <c r="C35"/>
  <c r="C40" s="1"/>
  <c r="E50" i="128"/>
  <c r="E50" i="126" s="1"/>
  <c r="D50" i="128"/>
  <c r="C50"/>
  <c r="E44"/>
  <c r="E44" i="126" s="1"/>
  <c r="E55" i="128"/>
  <c r="D44"/>
  <c r="D55"/>
  <c r="C44"/>
  <c r="C55"/>
  <c r="E36"/>
  <c r="D36"/>
  <c r="C36"/>
  <c r="E29"/>
  <c r="D29"/>
  <c r="C29"/>
  <c r="E25"/>
  <c r="D25"/>
  <c r="C25"/>
  <c r="E19"/>
  <c r="D19"/>
  <c r="C19"/>
  <c r="E8"/>
  <c r="E8" i="126" s="1"/>
  <c r="E35" i="128"/>
  <c r="E40" s="1"/>
  <c r="D8"/>
  <c r="D35" s="1"/>
  <c r="D40" s="1"/>
  <c r="C8"/>
  <c r="C35"/>
  <c r="C40" s="1"/>
  <c r="D50" i="127"/>
  <c r="C50"/>
  <c r="D44"/>
  <c r="D55" s="1"/>
  <c r="C44"/>
  <c r="C55" s="1"/>
  <c r="D36"/>
  <c r="C36"/>
  <c r="E29"/>
  <c r="E29" i="126" s="1"/>
  <c r="D29" i="127"/>
  <c r="C29"/>
  <c r="E25"/>
  <c r="E25" i="126" s="1"/>
  <c r="D25" i="127"/>
  <c r="C25"/>
  <c r="E19"/>
  <c r="E19" i="126" s="1"/>
  <c r="D19" i="127"/>
  <c r="C19"/>
  <c r="D8"/>
  <c r="D35"/>
  <c r="D40" s="1"/>
  <c r="C8"/>
  <c r="C35" s="1"/>
  <c r="C40" s="1"/>
  <c r="D50" i="126"/>
  <c r="C50"/>
  <c r="D44"/>
  <c r="D55"/>
  <c r="C44"/>
  <c r="C55"/>
  <c r="D36"/>
  <c r="C36"/>
  <c r="D29"/>
  <c r="C29"/>
  <c r="D25"/>
  <c r="C25"/>
  <c r="D19"/>
  <c r="C19"/>
  <c r="D8"/>
  <c r="D35"/>
  <c r="D40" s="1"/>
  <c r="C8"/>
  <c r="C35" s="1"/>
  <c r="C40" s="1"/>
  <c r="E50" i="125"/>
  <c r="D50"/>
  <c r="C50"/>
  <c r="E44"/>
  <c r="E44" i="122" s="1"/>
  <c r="D44" i="125"/>
  <c r="D55" s="1"/>
  <c r="C44"/>
  <c r="C55" s="1"/>
  <c r="E36"/>
  <c r="D36"/>
  <c r="C36"/>
  <c r="E29"/>
  <c r="D29"/>
  <c r="C29"/>
  <c r="E25"/>
  <c r="D25"/>
  <c r="C25"/>
  <c r="E19"/>
  <c r="D19"/>
  <c r="C19"/>
  <c r="E8"/>
  <c r="E8" i="122" s="1"/>
  <c r="D8" i="125"/>
  <c r="D35"/>
  <c r="D40" s="1"/>
  <c r="C8"/>
  <c r="C35" s="1"/>
  <c r="C40" s="1"/>
  <c r="E50" i="124"/>
  <c r="E50" i="122" s="1"/>
  <c r="D50" i="124"/>
  <c r="C50"/>
  <c r="D44"/>
  <c r="D55" s="1"/>
  <c r="C44"/>
  <c r="C55" s="1"/>
  <c r="E36"/>
  <c r="D36"/>
  <c r="C36"/>
  <c r="E29"/>
  <c r="D29"/>
  <c r="C29"/>
  <c r="E25"/>
  <c r="D25"/>
  <c r="C25"/>
  <c r="E19"/>
  <c r="E35" s="1"/>
  <c r="E40" s="1"/>
  <c r="D19"/>
  <c r="C19"/>
  <c r="D8"/>
  <c r="D35" s="1"/>
  <c r="D40" s="1"/>
  <c r="C8"/>
  <c r="C35"/>
  <c r="C40" s="1"/>
  <c r="D50" i="123"/>
  <c r="C50"/>
  <c r="D44"/>
  <c r="D55" s="1"/>
  <c r="C44"/>
  <c r="C55" s="1"/>
  <c r="D36"/>
  <c r="C36"/>
  <c r="E29"/>
  <c r="E29" i="122" s="1"/>
  <c r="D29" i="123"/>
  <c r="C29"/>
  <c r="E25"/>
  <c r="E25" i="122" s="1"/>
  <c r="D25" i="123"/>
  <c r="C25"/>
  <c r="D19"/>
  <c r="C19"/>
  <c r="D8"/>
  <c r="D35" s="1"/>
  <c r="D40" s="1"/>
  <c r="C8"/>
  <c r="C35"/>
  <c r="C40" s="1"/>
  <c r="D50" i="122"/>
  <c r="C50"/>
  <c r="D44"/>
  <c r="D55" s="1"/>
  <c r="C44"/>
  <c r="C55" s="1"/>
  <c r="D36"/>
  <c r="C36"/>
  <c r="D29"/>
  <c r="C29"/>
  <c r="D25"/>
  <c r="C25"/>
  <c r="D19"/>
  <c r="C19"/>
  <c r="D8"/>
  <c r="D35" s="1"/>
  <c r="D40" s="1"/>
  <c r="C8"/>
  <c r="C35"/>
  <c r="C40" s="1"/>
  <c r="E50" i="121"/>
  <c r="D50"/>
  <c r="C50"/>
  <c r="E44"/>
  <c r="E55"/>
  <c r="D44"/>
  <c r="D55"/>
  <c r="C44"/>
  <c r="C55"/>
  <c r="E36"/>
  <c r="D36"/>
  <c r="C36"/>
  <c r="E29"/>
  <c r="D29"/>
  <c r="C29"/>
  <c r="E25"/>
  <c r="D25"/>
  <c r="C25"/>
  <c r="E19"/>
  <c r="D19"/>
  <c r="C19"/>
  <c r="E8"/>
  <c r="E35"/>
  <c r="E40" s="1"/>
  <c r="D8"/>
  <c r="D35" s="1"/>
  <c r="D40" s="1"/>
  <c r="C8"/>
  <c r="C35"/>
  <c r="C40" s="1"/>
  <c r="E50" i="120"/>
  <c r="D50"/>
  <c r="C50"/>
  <c r="D44"/>
  <c r="D55"/>
  <c r="C44"/>
  <c r="C55"/>
  <c r="D36"/>
  <c r="C36"/>
  <c r="E29"/>
  <c r="D29"/>
  <c r="C29"/>
  <c r="E25"/>
  <c r="D25"/>
  <c r="C25"/>
  <c r="E19"/>
  <c r="D19"/>
  <c r="C19"/>
  <c r="D8"/>
  <c r="D35" s="1"/>
  <c r="D40" s="1"/>
  <c r="C8"/>
  <c r="C35"/>
  <c r="C40" s="1"/>
  <c r="D50" i="119"/>
  <c r="C50"/>
  <c r="D44"/>
  <c r="D55"/>
  <c r="C44"/>
  <c r="C55"/>
  <c r="D36"/>
  <c r="C36"/>
  <c r="D29"/>
  <c r="C29"/>
  <c r="E25"/>
  <c r="E25" i="84" s="1"/>
  <c r="D25" i="119"/>
  <c r="C25"/>
  <c r="E19"/>
  <c r="E19" i="84" s="1"/>
  <c r="D19" i="119"/>
  <c r="C19"/>
  <c r="D8"/>
  <c r="D35"/>
  <c r="D40" s="1"/>
  <c r="C8"/>
  <c r="C35" s="1"/>
  <c r="C40" s="1"/>
  <c r="D44" i="84"/>
  <c r="D50"/>
  <c r="D55" s="1"/>
  <c r="C50"/>
  <c r="C44"/>
  <c r="C55"/>
  <c r="D8"/>
  <c r="D19"/>
  <c r="D35" s="1"/>
  <c r="D40" s="1"/>
  <c r="D25"/>
  <c r="D29"/>
  <c r="D36"/>
  <c r="C36"/>
  <c r="C29"/>
  <c r="C25"/>
  <c r="C19"/>
  <c r="C8"/>
  <c r="C35" s="1"/>
  <c r="C40" s="1"/>
  <c r="E50" i="118"/>
  <c r="D50"/>
  <c r="C50"/>
  <c r="D44"/>
  <c r="D55"/>
  <c r="C44"/>
  <c r="C55"/>
  <c r="D36"/>
  <c r="C36"/>
  <c r="E29"/>
  <c r="D29"/>
  <c r="C29"/>
  <c r="E25"/>
  <c r="D25"/>
  <c r="C25"/>
  <c r="D19"/>
  <c r="C19"/>
  <c r="E8"/>
  <c r="E35" s="1"/>
  <c r="D8"/>
  <c r="D35" s="1"/>
  <c r="D40" s="1"/>
  <c r="C8"/>
  <c r="C35"/>
  <c r="C40" s="1"/>
  <c r="E50" i="117"/>
  <c r="D50"/>
  <c r="C50"/>
  <c r="E44"/>
  <c r="E44" i="79" s="1"/>
  <c r="E55" i="117"/>
  <c r="D44"/>
  <c r="D55"/>
  <c r="C44"/>
  <c r="C55"/>
  <c r="E36"/>
  <c r="D36"/>
  <c r="C36"/>
  <c r="E29"/>
  <c r="D29"/>
  <c r="C29"/>
  <c r="E25"/>
  <c r="D25"/>
  <c r="C25"/>
  <c r="E19"/>
  <c r="D19"/>
  <c r="C19"/>
  <c r="E8"/>
  <c r="E8" i="79" s="1"/>
  <c r="E35" i="117"/>
  <c r="E40" s="1"/>
  <c r="D8"/>
  <c r="D35" s="1"/>
  <c r="D40" s="1"/>
  <c r="C8"/>
  <c r="C35"/>
  <c r="C40" s="1"/>
  <c r="D50" i="116"/>
  <c r="C50"/>
  <c r="D44"/>
  <c r="D55" s="1"/>
  <c r="C44"/>
  <c r="C55" s="1"/>
  <c r="D36"/>
  <c r="C36"/>
  <c r="E29"/>
  <c r="E29" i="79" s="1"/>
  <c r="D29" i="116"/>
  <c r="C29"/>
  <c r="E25"/>
  <c r="E25" i="79" s="1"/>
  <c r="D25" i="116"/>
  <c r="C25"/>
  <c r="E19"/>
  <c r="E35" s="1"/>
  <c r="D19"/>
  <c r="C19"/>
  <c r="D8"/>
  <c r="D35"/>
  <c r="D40" s="1"/>
  <c r="C8"/>
  <c r="C35" s="1"/>
  <c r="C40" s="1"/>
  <c r="D44" i="79"/>
  <c r="D50"/>
  <c r="D55" s="1"/>
  <c r="C50"/>
  <c r="C44"/>
  <c r="C55"/>
  <c r="D8"/>
  <c r="D19"/>
  <c r="D35" s="1"/>
  <c r="D40" s="1"/>
  <c r="D25"/>
  <c r="D29"/>
  <c r="D36"/>
  <c r="C36"/>
  <c r="C29"/>
  <c r="C25"/>
  <c r="C19"/>
  <c r="C8"/>
  <c r="C35" s="1"/>
  <c r="C40" s="1"/>
  <c r="E140" i="115"/>
  <c r="D140"/>
  <c r="C140"/>
  <c r="E129"/>
  <c r="D129"/>
  <c r="C129"/>
  <c r="E125"/>
  <c r="E145"/>
  <c r="D125"/>
  <c r="D145"/>
  <c r="C125"/>
  <c r="C145"/>
  <c r="E121"/>
  <c r="D121"/>
  <c r="C121"/>
  <c r="E107"/>
  <c r="D107"/>
  <c r="C107"/>
  <c r="E91"/>
  <c r="E124"/>
  <c r="E146" s="1"/>
  <c r="D91"/>
  <c r="D124" s="1"/>
  <c r="D146" s="1"/>
  <c r="C91"/>
  <c r="C124"/>
  <c r="C146" s="1"/>
  <c r="E80"/>
  <c r="D80"/>
  <c r="C80"/>
  <c r="E76"/>
  <c r="D76"/>
  <c r="C76"/>
  <c r="E73"/>
  <c r="D73"/>
  <c r="C73"/>
  <c r="E68"/>
  <c r="D68"/>
  <c r="C68"/>
  <c r="E64"/>
  <c r="E86" s="1"/>
  <c r="D64"/>
  <c r="D86" s="1"/>
  <c r="C64"/>
  <c r="C86" s="1"/>
  <c r="C87" s="1"/>
  <c r="E58"/>
  <c r="D58"/>
  <c r="C58"/>
  <c r="E53"/>
  <c r="D53"/>
  <c r="C53"/>
  <c r="E47"/>
  <c r="D47"/>
  <c r="C47"/>
  <c r="E36"/>
  <c r="D36"/>
  <c r="C36"/>
  <c r="E22"/>
  <c r="D22"/>
  <c r="C22"/>
  <c r="E15"/>
  <c r="D15"/>
  <c r="C15"/>
  <c r="E8"/>
  <c r="E63" s="1"/>
  <c r="E87" s="1"/>
  <c r="D8"/>
  <c r="C8"/>
  <c r="C63"/>
  <c r="E140" i="114"/>
  <c r="D140"/>
  <c r="C140"/>
  <c r="E129"/>
  <c r="D129"/>
  <c r="C129"/>
  <c r="E125"/>
  <c r="E125" i="3" s="1"/>
  <c r="E145" i="114"/>
  <c r="D125"/>
  <c r="D145"/>
  <c r="C125"/>
  <c r="C145"/>
  <c r="E121"/>
  <c r="D121"/>
  <c r="C121"/>
  <c r="E107"/>
  <c r="E107" i="3" s="1"/>
  <c r="D107" i="114"/>
  <c r="C107"/>
  <c r="D91"/>
  <c r="D124"/>
  <c r="D146" s="1"/>
  <c r="C91"/>
  <c r="C124" s="1"/>
  <c r="C146" s="1"/>
  <c r="E80"/>
  <c r="D80"/>
  <c r="C80"/>
  <c r="E76"/>
  <c r="E76" i="3" s="1"/>
  <c r="D76" i="114"/>
  <c r="C76"/>
  <c r="E73"/>
  <c r="E73" i="3" s="1"/>
  <c r="D73" i="114"/>
  <c r="C73"/>
  <c r="E68"/>
  <c r="D68"/>
  <c r="C68"/>
  <c r="E64"/>
  <c r="E86"/>
  <c r="D64"/>
  <c r="D86"/>
  <c r="C64"/>
  <c r="C86"/>
  <c r="E58"/>
  <c r="E58" i="3" s="1"/>
  <c r="D58" i="114"/>
  <c r="C58"/>
  <c r="E53"/>
  <c r="D53"/>
  <c r="C53"/>
  <c r="E47"/>
  <c r="E47" i="3" s="1"/>
  <c r="D47" i="114"/>
  <c r="C47"/>
  <c r="E36"/>
  <c r="D36"/>
  <c r="C36"/>
  <c r="E22"/>
  <c r="D22"/>
  <c r="C22"/>
  <c r="E15"/>
  <c r="D15"/>
  <c r="C15"/>
  <c r="E8"/>
  <c r="E8" i="3" s="1"/>
  <c r="D8" i="114"/>
  <c r="D63" s="1"/>
  <c r="D87" s="1"/>
  <c r="C8"/>
  <c r="C63" s="1"/>
  <c r="C87" s="1"/>
  <c r="E140" i="113"/>
  <c r="E140" i="3" s="1"/>
  <c r="D140" i="113"/>
  <c r="C140"/>
  <c r="E129"/>
  <c r="E145" s="1"/>
  <c r="E145" i="3" s="1"/>
  <c r="D129" i="113"/>
  <c r="C129"/>
  <c r="D125"/>
  <c r="D145"/>
  <c r="C125"/>
  <c r="C145"/>
  <c r="E121"/>
  <c r="E121" i="3" s="1"/>
  <c r="D121" i="113"/>
  <c r="C121"/>
  <c r="D107"/>
  <c r="C107"/>
  <c r="D91"/>
  <c r="D124" s="1"/>
  <c r="D146" s="1"/>
  <c r="C91"/>
  <c r="C124"/>
  <c r="C146" s="1"/>
  <c r="E80"/>
  <c r="E80" i="3" s="1"/>
  <c r="D80" i="113"/>
  <c r="C80"/>
  <c r="D76"/>
  <c r="C76"/>
  <c r="D73"/>
  <c r="C73"/>
  <c r="E68"/>
  <c r="E68" i="3" s="1"/>
  <c r="D68" i="113"/>
  <c r="C68"/>
  <c r="E64"/>
  <c r="E86" s="1"/>
  <c r="E86" i="3" s="1"/>
  <c r="D64" i="113"/>
  <c r="D86"/>
  <c r="C64"/>
  <c r="C86"/>
  <c r="D58"/>
  <c r="C58"/>
  <c r="E53"/>
  <c r="E53" i="3" s="1"/>
  <c r="D53" i="113"/>
  <c r="C53"/>
  <c r="D47"/>
  <c r="C47"/>
  <c r="D36"/>
  <c r="C36"/>
  <c r="D22"/>
  <c r="C22"/>
  <c r="D15"/>
  <c r="C15"/>
  <c r="D8"/>
  <c r="D63" s="1"/>
  <c r="D87" s="1"/>
  <c r="C8"/>
  <c r="C63"/>
  <c r="C87" s="1"/>
  <c r="D91" i="3"/>
  <c r="D124" s="1"/>
  <c r="D146" s="1"/>
  <c r="D107"/>
  <c r="D121"/>
  <c r="D125"/>
  <c r="D145" s="1"/>
  <c r="D129"/>
  <c r="D140"/>
  <c r="C140"/>
  <c r="C129"/>
  <c r="C125"/>
  <c r="C145"/>
  <c r="C121"/>
  <c r="C107"/>
  <c r="C91"/>
  <c r="C124"/>
  <c r="C146" s="1"/>
  <c r="D8"/>
  <c r="D15"/>
  <c r="D22"/>
  <c r="D36"/>
  <c r="D47"/>
  <c r="D58"/>
  <c r="D63"/>
  <c r="D64"/>
  <c r="D73"/>
  <c r="D53"/>
  <c r="D68"/>
  <c r="D86" s="1"/>
  <c r="D87" s="1"/>
  <c r="D76"/>
  <c r="D80"/>
  <c r="C80"/>
  <c r="C76"/>
  <c r="C73"/>
  <c r="C68"/>
  <c r="C64"/>
  <c r="C86"/>
  <c r="C58"/>
  <c r="C53"/>
  <c r="C47"/>
  <c r="C36"/>
  <c r="C22"/>
  <c r="C15"/>
  <c r="C8"/>
  <c r="H6" i="71"/>
  <c r="J6"/>
  <c r="G3" i="64"/>
  <c r="F3" i="63"/>
  <c r="F3" i="64"/>
  <c r="C3" i="1"/>
  <c r="C89"/>
  <c r="A34" i="75"/>
  <c r="A34" i="76"/>
  <c r="A28" i="75"/>
  <c r="A28" i="76"/>
  <c r="A22" i="75"/>
  <c r="A22" i="76"/>
  <c r="A16" i="75"/>
  <c r="A16" i="76"/>
  <c r="A10" i="75"/>
  <c r="A10" i="76"/>
  <c r="A4"/>
  <c r="H17" i="61"/>
  <c r="I17"/>
  <c r="H30"/>
  <c r="I30"/>
  <c r="H31"/>
  <c r="I31"/>
  <c r="H33"/>
  <c r="I33"/>
  <c r="G33"/>
  <c r="G30"/>
  <c r="G17"/>
  <c r="G31" s="1"/>
  <c r="D26" i="76" s="1"/>
  <c r="D17" i="61"/>
  <c r="H32" s="1"/>
  <c r="E17"/>
  <c r="D18"/>
  <c r="E18"/>
  <c r="D24"/>
  <c r="E24"/>
  <c r="D30"/>
  <c r="E30"/>
  <c r="D33"/>
  <c r="E33"/>
  <c r="C33"/>
  <c r="C24"/>
  <c r="C18"/>
  <c r="C30"/>
  <c r="C17"/>
  <c r="C32"/>
  <c r="H18" i="73"/>
  <c r="D30" i="76" s="1"/>
  <c r="I18" i="73"/>
  <c r="D36" i="76" s="1"/>
  <c r="H27" i="73"/>
  <c r="D31" i="76" s="1"/>
  <c r="I27" i="73"/>
  <c r="D37" i="76" s="1"/>
  <c r="H28" i="73"/>
  <c r="D32" i="76" s="1"/>
  <c r="I28" i="73"/>
  <c r="G27"/>
  <c r="D25" i="76"/>
  <c r="G18" i="73"/>
  <c r="D24" i="76"/>
  <c r="D18" i="73"/>
  <c r="D12" i="76" s="1"/>
  <c r="E18" i="73"/>
  <c r="I29" s="1"/>
  <c r="D19"/>
  <c r="E19"/>
  <c r="E27" s="1"/>
  <c r="D24"/>
  <c r="E24"/>
  <c r="D27"/>
  <c r="D13" i="76" s="1"/>
  <c r="D28" i="73"/>
  <c r="D29"/>
  <c r="E29"/>
  <c r="C24"/>
  <c r="C19"/>
  <c r="C27" s="1"/>
  <c r="C18"/>
  <c r="C29" s="1"/>
  <c r="E140" i="112"/>
  <c r="D140"/>
  <c r="C140"/>
  <c r="E135"/>
  <c r="D135"/>
  <c r="C135"/>
  <c r="E130"/>
  <c r="D130"/>
  <c r="C130"/>
  <c r="E126"/>
  <c r="E145" s="1"/>
  <c r="E151" s="1"/>
  <c r="D126"/>
  <c r="D145" s="1"/>
  <c r="C126"/>
  <c r="C145" s="1"/>
  <c r="E122"/>
  <c r="D122"/>
  <c r="C122"/>
  <c r="E108"/>
  <c r="D108"/>
  <c r="C108"/>
  <c r="E92"/>
  <c r="E125" s="1"/>
  <c r="E146" s="1"/>
  <c r="D92"/>
  <c r="D125" s="1"/>
  <c r="D146" s="1"/>
  <c r="C92"/>
  <c r="C125" s="1"/>
  <c r="D78"/>
  <c r="C78"/>
  <c r="D74"/>
  <c r="C74"/>
  <c r="D71"/>
  <c r="C71"/>
  <c r="D66"/>
  <c r="C66"/>
  <c r="D62"/>
  <c r="D84"/>
  <c r="D151" s="1"/>
  <c r="C62"/>
  <c r="C84" s="1"/>
  <c r="D56"/>
  <c r="C56"/>
  <c r="D51"/>
  <c r="C51"/>
  <c r="D45"/>
  <c r="C45"/>
  <c r="D34"/>
  <c r="C34"/>
  <c r="D20"/>
  <c r="C20"/>
  <c r="D13"/>
  <c r="C13"/>
  <c r="D6"/>
  <c r="C6"/>
  <c r="C61"/>
  <c r="C3"/>
  <c r="C89" s="1"/>
  <c r="E140" i="111"/>
  <c r="D140"/>
  <c r="C140"/>
  <c r="E135"/>
  <c r="D135"/>
  <c r="C135"/>
  <c r="E130"/>
  <c r="D130"/>
  <c r="C130"/>
  <c r="E126"/>
  <c r="E145"/>
  <c r="D126"/>
  <c r="D145"/>
  <c r="C126"/>
  <c r="C145"/>
  <c r="E122"/>
  <c r="D122"/>
  <c r="C122"/>
  <c r="E108"/>
  <c r="E108" i="1" s="1"/>
  <c r="D108" i="111"/>
  <c r="C108"/>
  <c r="E92"/>
  <c r="E125" s="1"/>
  <c r="D92"/>
  <c r="D125"/>
  <c r="D146" s="1"/>
  <c r="C92"/>
  <c r="C125" s="1"/>
  <c r="C146" s="1"/>
  <c r="E78"/>
  <c r="E78" i="1" s="1"/>
  <c r="D78" i="111"/>
  <c r="C78"/>
  <c r="E74"/>
  <c r="D74"/>
  <c r="C74"/>
  <c r="E71"/>
  <c r="D71"/>
  <c r="C71"/>
  <c r="E66"/>
  <c r="E66" i="1" s="1"/>
  <c r="D66" i="111"/>
  <c r="C66"/>
  <c r="E62"/>
  <c r="E84"/>
  <c r="D62"/>
  <c r="D84" s="1"/>
  <c r="D151" s="1"/>
  <c r="C62"/>
  <c r="C84"/>
  <c r="E56"/>
  <c r="D56"/>
  <c r="C56"/>
  <c r="E51"/>
  <c r="D51"/>
  <c r="C51"/>
  <c r="E45"/>
  <c r="D45"/>
  <c r="C45"/>
  <c r="E34"/>
  <c r="D34"/>
  <c r="C34"/>
  <c r="E20"/>
  <c r="D20"/>
  <c r="C20"/>
  <c r="E13"/>
  <c r="D13"/>
  <c r="C13"/>
  <c r="E6"/>
  <c r="E61"/>
  <c r="D6"/>
  <c r="D61" s="1"/>
  <c r="C6"/>
  <c r="C61" s="1"/>
  <c r="E140" i="108"/>
  <c r="D140"/>
  <c r="C140"/>
  <c r="D135"/>
  <c r="C135"/>
  <c r="E130"/>
  <c r="D130"/>
  <c r="C130"/>
  <c r="D126"/>
  <c r="D145" s="1"/>
  <c r="C126"/>
  <c r="C145" s="1"/>
  <c r="E122"/>
  <c r="E122" i="1" s="1"/>
  <c r="D122" i="108"/>
  <c r="C122"/>
  <c r="D108"/>
  <c r="C108"/>
  <c r="D92"/>
  <c r="D125" s="1"/>
  <c r="D146" s="1"/>
  <c r="C92"/>
  <c r="C125"/>
  <c r="C146" s="1"/>
  <c r="E78"/>
  <c r="D78"/>
  <c r="C78"/>
  <c r="D74"/>
  <c r="C74"/>
  <c r="D71"/>
  <c r="C71"/>
  <c r="E66"/>
  <c r="D66"/>
  <c r="C66"/>
  <c r="E62"/>
  <c r="D62"/>
  <c r="D84"/>
  <c r="D151" s="1"/>
  <c r="C62"/>
  <c r="C84" s="1"/>
  <c r="C151" s="1"/>
  <c r="D56"/>
  <c r="C56"/>
  <c r="D51"/>
  <c r="C51"/>
  <c r="D45"/>
  <c r="C45"/>
  <c r="D34"/>
  <c r="C34"/>
  <c r="D20"/>
  <c r="C20"/>
  <c r="D13"/>
  <c r="C13"/>
  <c r="D6"/>
  <c r="D61" s="1"/>
  <c r="C6"/>
  <c r="C61" s="1"/>
  <c r="D92" i="1"/>
  <c r="D108"/>
  <c r="D122"/>
  <c r="D125"/>
  <c r="B30" i="76" s="1"/>
  <c r="E30" s="1"/>
  <c r="D126" i="1"/>
  <c r="D130"/>
  <c r="D145" s="1"/>
  <c r="D135"/>
  <c r="D140"/>
  <c r="C140"/>
  <c r="C135"/>
  <c r="C130"/>
  <c r="C126"/>
  <c r="C145" s="1"/>
  <c r="B25" i="76" s="1"/>
  <c r="E25" s="1"/>
  <c r="C122" i="1"/>
  <c r="C108"/>
  <c r="C92"/>
  <c r="C125" s="1"/>
  <c r="D27"/>
  <c r="D6"/>
  <c r="D13"/>
  <c r="D20"/>
  <c r="D34"/>
  <c r="D45"/>
  <c r="D56"/>
  <c r="D51"/>
  <c r="D61" s="1"/>
  <c r="D62"/>
  <c r="D66"/>
  <c r="D71"/>
  <c r="D74"/>
  <c r="D78"/>
  <c r="D84"/>
  <c r="B13" i="76" s="1"/>
  <c r="E13" s="1"/>
  <c r="C78" i="1"/>
  <c r="C74"/>
  <c r="C71"/>
  <c r="C66"/>
  <c r="C62"/>
  <c r="C84" s="1"/>
  <c r="C56"/>
  <c r="C51"/>
  <c r="C45"/>
  <c r="C34"/>
  <c r="C20"/>
  <c r="C13"/>
  <c r="C6"/>
  <c r="C61" s="1"/>
  <c r="F36" i="107"/>
  <c r="D36"/>
  <c r="C36"/>
  <c r="E35"/>
  <c r="E34"/>
  <c r="E33"/>
  <c r="E32"/>
  <c r="E31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36" s="1"/>
  <c r="E22" i="105"/>
  <c r="D22"/>
  <c r="E36" i="100"/>
  <c r="D36"/>
  <c r="G18" i="98"/>
  <c r="F18"/>
  <c r="E18"/>
  <c r="D18"/>
  <c r="C18"/>
  <c r="H17"/>
  <c r="I17"/>
  <c r="H16"/>
  <c r="H18"/>
  <c r="G14"/>
  <c r="G19" s="1"/>
  <c r="F14"/>
  <c r="F19" s="1"/>
  <c r="E14"/>
  <c r="E19" s="1"/>
  <c r="D14"/>
  <c r="D19" s="1"/>
  <c r="C14"/>
  <c r="C19" s="1"/>
  <c r="H13"/>
  <c r="I13" s="1"/>
  <c r="H12"/>
  <c r="I12" s="1"/>
  <c r="H11"/>
  <c r="I11" s="1"/>
  <c r="H10"/>
  <c r="I10" s="1"/>
  <c r="H9"/>
  <c r="I9" s="1"/>
  <c r="H8"/>
  <c r="I8" s="1"/>
  <c r="I14" s="1"/>
  <c r="I19" s="1"/>
  <c r="H7"/>
  <c r="H12" i="97"/>
  <c r="G12"/>
  <c r="F12"/>
  <c r="E12"/>
  <c r="H5"/>
  <c r="H19" s="1"/>
  <c r="G5"/>
  <c r="G19" s="1"/>
  <c r="F5"/>
  <c r="F19" s="1"/>
  <c r="E5"/>
  <c r="E19" s="1"/>
  <c r="K23" i="96"/>
  <c r="K22"/>
  <c r="J21"/>
  <c r="I21"/>
  <c r="H21"/>
  <c r="G21"/>
  <c r="K21"/>
  <c r="F21"/>
  <c r="E21"/>
  <c r="K20"/>
  <c r="J19"/>
  <c r="I19"/>
  <c r="H19"/>
  <c r="G19"/>
  <c r="K19"/>
  <c r="F19"/>
  <c r="E19"/>
  <c r="K18"/>
  <c r="J17"/>
  <c r="I17"/>
  <c r="H17"/>
  <c r="G17"/>
  <c r="K17"/>
  <c r="F17"/>
  <c r="E17"/>
  <c r="K24"/>
  <c r="K7"/>
  <c r="K6"/>
  <c r="J5"/>
  <c r="J24"/>
  <c r="I5"/>
  <c r="I24"/>
  <c r="H5"/>
  <c r="H24"/>
  <c r="G5"/>
  <c r="G24"/>
  <c r="F5"/>
  <c r="F24"/>
  <c r="E5"/>
  <c r="E24"/>
  <c r="L32" i="71"/>
  <c r="M32"/>
  <c r="K32"/>
  <c r="C24"/>
  <c r="M24" s="1"/>
  <c r="M23"/>
  <c r="M22"/>
  <c r="M21"/>
  <c r="M20"/>
  <c r="M19"/>
  <c r="M18"/>
  <c r="L20"/>
  <c r="L21"/>
  <c r="L22"/>
  <c r="L23"/>
  <c r="L19"/>
  <c r="L18"/>
  <c r="L24"/>
  <c r="D24"/>
  <c r="E24"/>
  <c r="F24"/>
  <c r="G24"/>
  <c r="H24"/>
  <c r="I24"/>
  <c r="J24"/>
  <c r="K24"/>
  <c r="B24"/>
  <c r="M9"/>
  <c r="M10"/>
  <c r="M11"/>
  <c r="M12"/>
  <c r="M13"/>
  <c r="M14"/>
  <c r="L10"/>
  <c r="L11"/>
  <c r="L12"/>
  <c r="L13"/>
  <c r="L14"/>
  <c r="L9"/>
  <c r="L8"/>
  <c r="L15" s="1"/>
  <c r="C15"/>
  <c r="B15"/>
  <c r="D15"/>
  <c r="E15"/>
  <c r="F15"/>
  <c r="G15"/>
  <c r="H15"/>
  <c r="I15"/>
  <c r="J15"/>
  <c r="K15"/>
  <c r="G5" i="64"/>
  <c r="G6"/>
  <c r="G7"/>
  <c r="G8"/>
  <c r="G9"/>
  <c r="G10"/>
  <c r="G11"/>
  <c r="G12"/>
  <c r="G13"/>
  <c r="G14"/>
  <c r="G15"/>
  <c r="G16"/>
  <c r="G17"/>
  <c r="G18"/>
  <c r="G19"/>
  <c r="G20"/>
  <c r="G21"/>
  <c r="G22"/>
  <c r="G23"/>
  <c r="F24"/>
  <c r="E24"/>
  <c r="D24"/>
  <c r="B24"/>
  <c r="F24" i="63"/>
  <c r="G6"/>
  <c r="G7"/>
  <c r="G8"/>
  <c r="G9"/>
  <c r="G10"/>
  <c r="G11"/>
  <c r="G12"/>
  <c r="G13"/>
  <c r="G14"/>
  <c r="G15"/>
  <c r="G16"/>
  <c r="G17"/>
  <c r="G18"/>
  <c r="G19"/>
  <c r="G20"/>
  <c r="G21"/>
  <c r="G22"/>
  <c r="G23"/>
  <c r="G5"/>
  <c r="B24"/>
  <c r="D24"/>
  <c r="E24"/>
  <c r="G29" i="73"/>
  <c r="K5" i="96"/>
  <c r="I7" i="98"/>
  <c r="H14"/>
  <c r="H19"/>
  <c r="C61" i="95"/>
  <c r="C84"/>
  <c r="C124"/>
  <c r="D124"/>
  <c r="E144"/>
  <c r="M15" i="71"/>
  <c r="M8"/>
  <c r="H29" i="73"/>
  <c r="H30"/>
  <c r="D4"/>
  <c r="D4" i="61" s="1"/>
  <c r="C3" i="108"/>
  <c r="C89"/>
  <c r="E4" i="73"/>
  <c r="E4" i="61"/>
  <c r="H4"/>
  <c r="C3" i="111"/>
  <c r="C89"/>
  <c r="I4" i="61"/>
  <c r="I4" i="73"/>
  <c r="C63" i="3"/>
  <c r="C87" s="1"/>
  <c r="G28" i="73"/>
  <c r="C31" i="61"/>
  <c r="G32"/>
  <c r="D6" i="76"/>
  <c r="D18"/>
  <c r="C4" i="73"/>
  <c r="G4" i="61"/>
  <c r="I16" i="98"/>
  <c r="I18"/>
  <c r="D30" i="73"/>
  <c r="G4"/>
  <c r="C4" i="61"/>
  <c r="D63" i="115"/>
  <c r="D87" s="1"/>
  <c r="C151" i="111"/>
  <c r="D32" i="61"/>
  <c r="D31"/>
  <c r="D14" i="76" s="1"/>
  <c r="D8" i="130" l="1"/>
  <c r="D51" s="1"/>
  <c r="D69" s="1"/>
  <c r="D21" i="131"/>
  <c r="E8" i="130"/>
  <c r="E51" s="1"/>
  <c r="E69" s="1"/>
  <c r="E124" i="95"/>
  <c r="E145" s="1"/>
  <c r="E84"/>
  <c r="E85"/>
  <c r="C145"/>
  <c r="C85"/>
  <c r="G24" i="64"/>
  <c r="E150" i="111"/>
  <c r="E146"/>
  <c r="G24" i="63"/>
  <c r="D38" i="76"/>
  <c r="I32" i="61"/>
  <c r="E32"/>
  <c r="E31"/>
  <c r="B6" i="76"/>
  <c r="E6" s="1"/>
  <c r="C85" i="1"/>
  <c r="B8" i="76" s="1"/>
  <c r="C150" i="1"/>
  <c r="D85"/>
  <c r="B14" i="76" s="1"/>
  <c r="E14" s="1"/>
  <c r="B12"/>
  <c r="E12" s="1"/>
  <c r="D150" i="1"/>
  <c r="C146"/>
  <c r="B26" i="76" s="1"/>
  <c r="E26" s="1"/>
  <c r="B24"/>
  <c r="E24" s="1"/>
  <c r="D85" i="108"/>
  <c r="D150"/>
  <c r="D150" i="111"/>
  <c r="D85"/>
  <c r="B19" i="76"/>
  <c r="C151" i="112"/>
  <c r="C85"/>
  <c r="E35" i="79"/>
  <c r="E39" i="119"/>
  <c r="E36" i="120"/>
  <c r="E87" i="113"/>
  <c r="E14" i="84"/>
  <c r="E40" i="108"/>
  <c r="E8" i="119"/>
  <c r="E71" i="108"/>
  <c r="E84"/>
  <c r="E39" i="118"/>
  <c r="E34" i="108"/>
  <c r="E13"/>
  <c r="E61" s="1"/>
  <c r="C151" i="1"/>
  <c r="B7" i="76"/>
  <c r="E7" s="1"/>
  <c r="B31"/>
  <c r="E31" s="1"/>
  <c r="D146" i="1"/>
  <c r="B32" i="76" s="1"/>
  <c r="E32" s="1"/>
  <c r="D151" i="1"/>
  <c r="C150" i="108"/>
  <c r="C85"/>
  <c r="C150" i="111"/>
  <c r="C85"/>
  <c r="C150" i="112"/>
  <c r="C146"/>
  <c r="C28" i="73"/>
  <c r="D7" i="76"/>
  <c r="D19"/>
  <c r="E28" i="73"/>
  <c r="D85" i="112"/>
  <c r="D150"/>
  <c r="E40" i="123"/>
  <c r="E40" i="122" s="1"/>
  <c r="E45" i="84"/>
  <c r="E44" i="119"/>
  <c r="E96" i="3"/>
  <c r="E97" i="108"/>
  <c r="E91" i="113"/>
  <c r="E40" i="120"/>
  <c r="E55" i="79"/>
  <c r="E93" i="108"/>
  <c r="E95"/>
  <c r="E85" i="111"/>
  <c r="E151"/>
  <c r="E35" i="125"/>
  <c r="E40" s="1"/>
  <c r="E55"/>
  <c r="E55" i="122" s="1"/>
  <c r="E35" i="127"/>
  <c r="E19" i="122"/>
  <c r="E55" i="124"/>
  <c r="E19" i="79"/>
  <c r="E64" i="3"/>
  <c r="E63" i="114"/>
  <c r="E87" s="1"/>
  <c r="E22" i="3"/>
  <c r="E129"/>
  <c r="E77" i="1"/>
  <c r="E67"/>
  <c r="E145" i="108"/>
  <c r="H4" i="73"/>
  <c r="E27" i="112"/>
  <c r="E61" s="1"/>
  <c r="E85" i="108" l="1"/>
  <c r="E124" i="113"/>
  <c r="E91" i="3"/>
  <c r="E85" i="112"/>
  <c r="E150"/>
  <c r="C30" i="73"/>
  <c r="D8" i="76"/>
  <c r="G30" i="73"/>
  <c r="E35" i="119"/>
  <c r="E8" i="84"/>
  <c r="E36" i="119"/>
  <c r="E36" i="84" s="1"/>
  <c r="E39"/>
  <c r="E35" i="126"/>
  <c r="E40" i="127"/>
  <c r="E40" i="126" s="1"/>
  <c r="E92" i="108"/>
  <c r="E55" i="119"/>
  <c r="E55" i="84" s="1"/>
  <c r="E44"/>
  <c r="E30" i="73"/>
  <c r="I30"/>
  <c r="D20" i="76"/>
  <c r="E36" i="118"/>
  <c r="E40" s="1"/>
  <c r="E39" i="116"/>
  <c r="E151" i="108"/>
  <c r="E87" i="3"/>
  <c r="B20" i="76"/>
  <c r="E35" i="122"/>
  <c r="E63" i="3"/>
  <c r="E19" i="76"/>
  <c r="E8"/>
  <c r="E20" l="1"/>
  <c r="B18"/>
  <c r="E18" s="1"/>
  <c r="E36" i="116"/>
  <c r="E39" i="79"/>
  <c r="B37" i="76"/>
  <c r="E37" s="1"/>
  <c r="E151" i="1"/>
  <c r="E146" i="113"/>
  <c r="E146" i="3" s="1"/>
  <c r="E124"/>
  <c r="E125" i="108"/>
  <c r="E35" i="84"/>
  <c r="E40" i="119"/>
  <c r="E40" i="84" s="1"/>
  <c r="E146" i="108" l="1"/>
  <c r="E150"/>
  <c r="E36" i="79"/>
  <c r="E40" i="116"/>
  <c r="E40" i="79" s="1"/>
  <c r="B38" i="76" l="1"/>
  <c r="E38" s="1"/>
  <c r="B36"/>
  <c r="E36" s="1"/>
  <c r="E150" i="1"/>
</calcChain>
</file>

<file path=xl/sharedStrings.xml><?xml version="1.0" encoding="utf-8"?>
<sst xmlns="http://schemas.openxmlformats.org/spreadsheetml/2006/main" count="5554" uniqueCount="880">
  <si>
    <r>
      <t>EU-s projekt neve, azonosítója:</t>
    </r>
    <r>
      <rPr>
        <sz val="12"/>
        <rFont val="Times New Roman"/>
        <family val="1"/>
        <charset val="238"/>
      </rPr>
      <t>*</t>
    </r>
  </si>
  <si>
    <t>Beruházási (felhalmozási) kiadások előirányzata beruházásonként</t>
  </si>
  <si>
    <t>Felújítási kiadások előirányzata felújításonként</t>
  </si>
  <si>
    <t>Vállalkozási maradvány igénybevétele</t>
  </si>
  <si>
    <t>B E V É T E L E K</t>
  </si>
  <si>
    <t>Sor-szám</t>
  </si>
  <si>
    <t>Bevételi jogcím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</si>
  <si>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</si>
  <si>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</si>
  <si>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</si>
  <si>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</si>
  <si>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</si>
  <si>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</si>
  <si>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</si>
  <si>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</si>
  <si>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</si>
  <si>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</si>
  <si>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</si>
  <si>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</si>
  <si>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</si>
  <si>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</si>
  <si>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</si>
  <si>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</si>
  <si>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</si>
  <si>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</si>
  <si>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</si>
  <si>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</si>
  <si>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</si>
  <si>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</si>
  <si>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</si>
  <si>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</si>
  <si>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</si>
  <si>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</si>
  <si>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</si>
  <si>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</si>
  <si>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</si>
  <si>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K I A D Á S O K</t>
  </si>
  <si>
    <t>Személyi  juttatások</t>
  </si>
  <si>
    <t>Tartalékok</t>
  </si>
  <si>
    <t>Összesen</t>
  </si>
  <si>
    <t>Összesen:</t>
  </si>
  <si>
    <t>01</t>
  </si>
  <si>
    <t>Bevételek</t>
  </si>
  <si>
    <t>Kiadások</t>
  </si>
  <si>
    <t>Egyéb fejlesztési célú kiadások</t>
  </si>
  <si>
    <t>Általános tartalék</t>
  </si>
  <si>
    <t>Céltartalék</t>
  </si>
  <si>
    <t>02</t>
  </si>
  <si>
    <t>03</t>
  </si>
  <si>
    <t>04</t>
  </si>
  <si>
    <t>05</t>
  </si>
  <si>
    <t xml:space="preserve"> Ezer forintban !</t>
  </si>
  <si>
    <t>Megnevezés</t>
  </si>
  <si>
    <t>Személyi juttatások</t>
  </si>
  <si>
    <t>ÖSSZESEN:</t>
  </si>
  <si>
    <t>Beruházás  megnevezése</t>
  </si>
  <si>
    <t>Teljes költség</t>
  </si>
  <si>
    <t>Kivitelezés kezdési és befejezési éve</t>
  </si>
  <si>
    <t>Felújítás  megnevezése</t>
  </si>
  <si>
    <t>Sor-
szám</t>
  </si>
  <si>
    <t>3.1.</t>
  </si>
  <si>
    <t>3.2.</t>
  </si>
  <si>
    <t>3.3.</t>
  </si>
  <si>
    <t>3.4.</t>
  </si>
  <si>
    <t>5.1.</t>
  </si>
  <si>
    <t>5.2.</t>
  </si>
  <si>
    <t>5.3.</t>
  </si>
  <si>
    <t>6.1.</t>
  </si>
  <si>
    <t>6.2.</t>
  </si>
  <si>
    <t>7.1.</t>
  </si>
  <si>
    <t>7.2.</t>
  </si>
  <si>
    <t>1.1.</t>
  </si>
  <si>
    <t>1.2.</t>
  </si>
  <si>
    <t>1.3.</t>
  </si>
  <si>
    <t>1.4.</t>
  </si>
  <si>
    <t>1.6.</t>
  </si>
  <si>
    <t>1.7.</t>
  </si>
  <si>
    <t>2.1.</t>
  </si>
  <si>
    <t>2.2.</t>
  </si>
  <si>
    <t>2.3.</t>
  </si>
  <si>
    <t>2.4.</t>
  </si>
  <si>
    <t>2.5.</t>
  </si>
  <si>
    <t>Kiadások összesen:</t>
  </si>
  <si>
    <t>1.5</t>
  </si>
  <si>
    <t>1.8.</t>
  </si>
  <si>
    <t>1.9.</t>
  </si>
  <si>
    <t>1.10.</t>
  </si>
  <si>
    <t>1.11.</t>
  </si>
  <si>
    <t>2.6.</t>
  </si>
  <si>
    <t>1.12.</t>
  </si>
  <si>
    <t>2.7.</t>
  </si>
  <si>
    <t>30.</t>
  </si>
  <si>
    <t>Források</t>
  </si>
  <si>
    <t>Saját erő</t>
  </si>
  <si>
    <t>EU-s forrás</t>
  </si>
  <si>
    <t>Hitel</t>
  </si>
  <si>
    <t>Egyéb forrás</t>
  </si>
  <si>
    <t>Kiadások, költségek</t>
  </si>
  <si>
    <t>Források összesen:</t>
  </si>
  <si>
    <t>Támogatott neve</t>
  </si>
  <si>
    <t>Dologi  kiadások</t>
  </si>
  <si>
    <t>Személyi jellegű</t>
  </si>
  <si>
    <t>Beruházások, beszerzések</t>
  </si>
  <si>
    <t>Szolgáltatások igénybe vétele</t>
  </si>
  <si>
    <t>Adminisztratív költségek</t>
  </si>
  <si>
    <t>- saját erőből központi támogatás</t>
  </si>
  <si>
    <t>Társfinanszírozás</t>
  </si>
  <si>
    <t>1.5.</t>
  </si>
  <si>
    <t>11.1.</t>
  </si>
  <si>
    <t>11.2.</t>
  </si>
  <si>
    <t>Költségvetési rendelet űrlapjainak összefüggései:</t>
  </si>
  <si>
    <t>1. sz. táblázat</t>
  </si>
  <si>
    <t>2. sz. táblázat</t>
  </si>
  <si>
    <t>3. sz. táblázat</t>
  </si>
  <si>
    <t>ELTÉRÉS</t>
  </si>
  <si>
    <t>Rövid lejáratú hitelek törlesztése</t>
  </si>
  <si>
    <t>Hosszú lejáratú hitelek törlesztése</t>
  </si>
  <si>
    <t>I. Működési célú bevételek és kiadások mérlege
(Önkormányzati szinten)</t>
  </si>
  <si>
    <t>II. Felhalmozási célú bevételek és kiadások mérlege
(Önkormányzati szinten)</t>
  </si>
  <si>
    <t>Költségvetési hiány:</t>
  </si>
  <si>
    <t>Költségvetési többlet:</t>
  </si>
  <si>
    <t>3.5.</t>
  </si>
  <si>
    <t>3.6.</t>
  </si>
  <si>
    <t xml:space="preserve">4. </t>
  </si>
  <si>
    <t>Közhatalmi bevételek</t>
  </si>
  <si>
    <t>5.4.</t>
  </si>
  <si>
    <t>5.5.</t>
  </si>
  <si>
    <t>5.6.</t>
  </si>
  <si>
    <t>5.7.</t>
  </si>
  <si>
    <t>5.8.</t>
  </si>
  <si>
    <t xml:space="preserve">7. </t>
  </si>
  <si>
    <t>8.1.</t>
  </si>
  <si>
    <t>8.2.</t>
  </si>
  <si>
    <t>Munkaadókat terhelő járulékok és szociális hozzájárulási adó</t>
  </si>
  <si>
    <t>Ellátottak pénzbeli juttatásai</t>
  </si>
  <si>
    <t>Egyéb működési célú kiadások</t>
  </si>
  <si>
    <t>1.13.</t>
  </si>
  <si>
    <t>Felújítások</t>
  </si>
  <si>
    <t>2.8.</t>
  </si>
  <si>
    <t>2.9.</t>
  </si>
  <si>
    <t>2.10.</t>
  </si>
  <si>
    <t>Értékpapír vásárlása, visszavásárlása</t>
  </si>
  <si>
    <t>Forgatási célú belföldi, külföldi értékpapírok vásárlása</t>
  </si>
  <si>
    <t>Betét elhelyezése</t>
  </si>
  <si>
    <t>Hitelek törlesztése</t>
  </si>
  <si>
    <t>Befektetési célú belföldi, külföldi értékpapírok vásárlása</t>
  </si>
  <si>
    <t>Feladat megnevezése</t>
  </si>
  <si>
    <t>Költségvetési szerv megnevezése</t>
  </si>
  <si>
    <t>Száma</t>
  </si>
  <si>
    <t>Központi költségvetéssel szemben fennálló tartozás</t>
  </si>
  <si>
    <t>Elkülönített állami pénzalapokkal szembeni tartozás</t>
  </si>
  <si>
    <t>TB alapokkal szembeni tartozás</t>
  </si>
  <si>
    <t>Tartozásállomány önkormányzatok és intézmények felé</t>
  </si>
  <si>
    <t xml:space="preserve">   Költségvetési maradvány igénybevétele </t>
  </si>
  <si>
    <t xml:space="preserve">   Vállalkozási maradvány igénybevétele </t>
  </si>
  <si>
    <t>Beruházások</t>
  </si>
  <si>
    <t>Ezer forintban</t>
  </si>
  <si>
    <t>8.3.</t>
  </si>
  <si>
    <t>Egyéb felhalmozási kiadások</t>
  </si>
  <si>
    <t xml:space="preserve">   Betét visszavonásából származó bevétel </t>
  </si>
  <si>
    <t xml:space="preserve">   Egyéb belső finanszírozási bevételek</t>
  </si>
  <si>
    <t xml:space="preserve">Dologi kiadások </t>
  </si>
  <si>
    <t>Kölcsön törlesztése</t>
  </si>
  <si>
    <t>Tárgyévi  hiány:</t>
  </si>
  <si>
    <t>Tárgyévi  többlet:</t>
  </si>
  <si>
    <t>Költségvetési maradvány igénybevétele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</si>
  <si>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</si>
  <si>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</si>
  <si>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</si>
  <si>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</si>
  <si>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Hiány külső finanszírozásának bevételei (20+…+24 )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</si>
  <si>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</si>
  <si>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</si>
  <si>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</si>
  <si>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</si>
  <si>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</si>
  <si>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Hiány belső finanszírozás bevételei ( 14+…+18)</t>
  </si>
  <si>
    <t>Kiadási jogcím</t>
  </si>
  <si>
    <t>Eredeti előirányzat</t>
  </si>
  <si>
    <t>* Amennyiben több projekt megvalósítása történi egy időben akkor azokat külön-külön, projektenként be kell mutatni!</t>
  </si>
  <si>
    <t>Évenkénti üteme</t>
  </si>
  <si>
    <t>Összes bevétel,
kiadás</t>
  </si>
  <si>
    <t>Támogatási szerződés szerinti bevételek, kiadások</t>
  </si>
  <si>
    <t>Módosított előirányzat</t>
  </si>
  <si>
    <t>Teljesítés</t>
  </si>
  <si>
    <t>Eredeti</t>
  </si>
  <si>
    <t>Módosított</t>
  </si>
  <si>
    <t>31.</t>
  </si>
  <si>
    <t>Kötelezettség
jogcíme</t>
  </si>
  <si>
    <t>Kötelezettség- 
vállalás 
éve</t>
  </si>
  <si>
    <t>Összes vállalt kötelezettség</t>
  </si>
  <si>
    <t>Kötelezettségek a következő években</t>
  </si>
  <si>
    <t>Még fennálló kötelezettség</t>
  </si>
  <si>
    <t>Működési célú
hiteltörlesztés (tőke+kamat)</t>
  </si>
  <si>
    <t>............................</t>
  </si>
  <si>
    <t>Beruházás feladatonként</t>
  </si>
  <si>
    <t>Felújítás célonként</t>
  </si>
  <si>
    <t>Egyéb</t>
  </si>
  <si>
    <t>Összesen (1+4+7+9+11)</t>
  </si>
  <si>
    <t xml:space="preserve">Hitel, kölcsön </t>
  </si>
  <si>
    <t>Kölcsön-
nyújtás
éve</t>
  </si>
  <si>
    <t xml:space="preserve">Lejárat
éve </t>
  </si>
  <si>
    <t>Hitel, kölcsön állomány december 31-én</t>
  </si>
  <si>
    <t xml:space="preserve">Rövid lejáratú </t>
  </si>
  <si>
    <t>Hosszú lejáratú</t>
  </si>
  <si>
    <t>Ezer forintban!</t>
  </si>
  <si>
    <t xml:space="preserve">Adósságállomány 
eszközök szerint </t>
  </si>
  <si>
    <t>Nem lejárt</t>
  </si>
  <si>
    <t>Lejárt</t>
  </si>
  <si>
    <t>Nem lejárt, lejárt összes tartozás</t>
  </si>
  <si>
    <t>1-90 nap közötti</t>
  </si>
  <si>
    <t>91-180 nap közötti</t>
  </si>
  <si>
    <t>181-360 nap közötti</t>
  </si>
  <si>
    <t>360 napon 
túli</t>
  </si>
  <si>
    <t>Összes lejárt tartozás</t>
  </si>
  <si>
    <t>I. Belföldi hitelezők</t>
  </si>
  <si>
    <t>Adóhatósággal szembeni tartozások</t>
  </si>
  <si>
    <t>Szállítói tartozás</t>
  </si>
  <si>
    <t>Egyéb adósság</t>
  </si>
  <si>
    <t>Belföldi összesen:</t>
  </si>
  <si>
    <t>II. Külföldi hitelezők</t>
  </si>
  <si>
    <t>Külföldi szállítók</t>
  </si>
  <si>
    <t>Külföldi összesen:</t>
  </si>
  <si>
    <t>Adósságállomány mindösszesen:</t>
  </si>
  <si>
    <t>Tervezett</t>
  </si>
  <si>
    <t>Tényleges</t>
  </si>
  <si>
    <t>Ellátottak térítési díjának méltányosságból történő elengedése</t>
  </si>
  <si>
    <t>Ellátottak kártérítésének méltányosságból történő elengedése</t>
  </si>
  <si>
    <t>Lakosság részére lakásépítéshez nyújtott kölcsön elengedése</t>
  </si>
  <si>
    <t>Lakosság részére lakásfelújításhoz nyújtott kölcsön elengedése</t>
  </si>
  <si>
    <t>Helyi adóból biztosított kedvezmény, mentesség összesen</t>
  </si>
  <si>
    <t xml:space="preserve">-ebből:            Építményadó </t>
  </si>
  <si>
    <t xml:space="preserve">Magánszemélyek kommunális adója </t>
  </si>
  <si>
    <t xml:space="preserve">Iparűzési adó állandó jelleggel végzett iparűzési tevékenység után </t>
  </si>
  <si>
    <t>Gépjárműadóból biztosított kedvezmény, mentesség</t>
  </si>
  <si>
    <t>Egyéb kedvezmény</t>
  </si>
  <si>
    <t>Egyéb kölcsön elengedése</t>
  </si>
  <si>
    <t>Támogatott szervezet neve</t>
  </si>
  <si>
    <t>Támogatás célja</t>
  </si>
  <si>
    <t>Tervezett 
(E Ft)</t>
  </si>
  <si>
    <t>Tényleges 
(E Ft)</t>
  </si>
  <si>
    <t>32.</t>
  </si>
  <si>
    <t>33.</t>
  </si>
  <si>
    <t>Adatok: ezer forintban!</t>
  </si>
  <si>
    <t>ESZKÖZÖK</t>
  </si>
  <si>
    <t>Sorszám</t>
  </si>
  <si>
    <t>állományi érték</t>
  </si>
  <si>
    <t>01.</t>
  </si>
  <si>
    <t>02.</t>
  </si>
  <si>
    <t>03.</t>
  </si>
  <si>
    <t>04.</t>
  </si>
  <si>
    <t>05.</t>
  </si>
  <si>
    <t>06.</t>
  </si>
  <si>
    <t>07.</t>
  </si>
  <si>
    <t>08.</t>
  </si>
  <si>
    <t>09.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</si>
  <si>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</si>
  <si>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</si>
  <si>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</si>
  <si>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</si>
  <si>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</si>
  <si>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</si>
  <si>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</si>
  <si>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</si>
  <si>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</si>
  <si>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</si>
  <si>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</si>
  <si>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</si>
  <si>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</si>
  <si>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</si>
  <si>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</si>
  <si>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</si>
  <si>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</si>
  <si>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</si>
  <si>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</si>
  <si>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</si>
  <si>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</si>
  <si>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</si>
  <si>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</si>
  <si>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</si>
  <si>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</si>
  <si>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</si>
  <si>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</si>
  <si>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</si>
  <si>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</si>
  <si>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VAGYONKIMUTATÁS
a könyvviteli mérlegben értékkel szereplő forrásokról</t>
  </si>
  <si>
    <t>FORRÁSOK</t>
  </si>
  <si>
    <t>Mennyiség
(db)</t>
  </si>
  <si>
    <t>Értéke
(E Ft)</t>
  </si>
  <si>
    <t>Gazdálkodó szervezet megnevezése</t>
  </si>
  <si>
    <t>Részesedés mértéke (%-ban)</t>
  </si>
  <si>
    <t>Részesedés összege (Ft-ban)</t>
  </si>
  <si>
    <t>Működésből származó kötelezettségek összege XII. 31-én
 (Ft-ban)</t>
  </si>
  <si>
    <t xml:space="preserve">       ÖSSZESEN:</t>
  </si>
  <si>
    <t>PÉNZESZKÖZÖK VÁLTOZÁSÁNAK LEVEZETÉSE</t>
  </si>
  <si>
    <t>Összeg  ( E Ft )</t>
  </si>
  <si>
    <r>
      <t xml:space="preserve"> </t>
    </r>
    <r>
      <rPr>
        <sz val="10"/>
        <rFont val="Times New Roman CE"/>
        <family val="1"/>
        <charset val="238"/>
      </rPr>
      <t>Bankszámlák egyenlege</t>
    </r>
  </si>
  <si>
    <r>
      <t xml:space="preserve"> </t>
    </r>
    <r>
      <rPr>
        <sz val="10"/>
        <rFont val="Times New Roman CE"/>
        <family val="1"/>
        <charset val="238"/>
      </rPr>
      <t>Pénztárak és betétkönyvek egyenlege</t>
    </r>
  </si>
  <si>
    <t>Bevételek   ( + )</t>
  </si>
  <si>
    <t>Kiadások    ( - )</t>
  </si>
  <si>
    <t>Költségvetési szerv neve</t>
  </si>
  <si>
    <t>Önkormányzat működési támogatásai (1.1.+…+.1.6.)</t>
  </si>
  <si>
    <t>Helyi önkormányzatok működésének általános támogatása</t>
  </si>
  <si>
    <t>Önkormányzatok egyes köznevelési feladatainak támogatása</t>
  </si>
  <si>
    <t>Önkormányzatok szociális és gyermekjóléti feladatainak támogatása</t>
  </si>
  <si>
    <t>Önkormányzatok kulturális feladatainak támogatása</t>
  </si>
  <si>
    <t>Működési célú központosított előirányzatok</t>
  </si>
  <si>
    <t>Helyi önkormányzatok kiegészítő támogatásai</t>
  </si>
  <si>
    <t>Működési célú támogatások államháztartáson belülről (2.1.+…+.2.5.)</t>
  </si>
  <si>
    <t>Elvonások és befizetések bevételei</t>
  </si>
  <si>
    <t xml:space="preserve">Működési célú garancia- és kezességvállalásból megtérülések </t>
  </si>
  <si>
    <t xml:space="preserve">Működési célú visszatérítendő támogatások, kölcsönök visszatérülése </t>
  </si>
  <si>
    <t>Működési célú visszatérítendő támogatások, kölcsönök igénybevétele</t>
  </si>
  <si>
    <t xml:space="preserve">Egyéb működési célú támogatások bevételei </t>
  </si>
  <si>
    <t>2.5.-ből EU-s támogatás</t>
  </si>
  <si>
    <t>Felhalmozási célú támogatások államháztartáson belülről (3.1.+…+3.5.)</t>
  </si>
  <si>
    <t>Felhalmozási célú önkormányzati támogatások</t>
  </si>
  <si>
    <t>Felhalmozási célú garancia- és kezességvállalásból megtérülések</t>
  </si>
  <si>
    <t>Felhalmozási célú visszatérítendő támogatások, kölcsönök visszatérülése</t>
  </si>
  <si>
    <t>Felhalmozási célú visszatérítendő támogatások, kölcsönök igénybevétele</t>
  </si>
  <si>
    <t>Egyéb felhalmozási célú támogatások bevételei</t>
  </si>
  <si>
    <t>3.5.-ből EU-s támogatás</t>
  </si>
  <si>
    <t>4.1.</t>
  </si>
  <si>
    <t>4.2.</t>
  </si>
  <si>
    <t>4.3.</t>
  </si>
  <si>
    <t>Egyéb áruhasználati és szolgáltatási adók</t>
  </si>
  <si>
    <t>Egyéb közhatalmi bevételek</t>
  </si>
  <si>
    <t>Működési bevételek (5.1.+…+ 5.10.)</t>
  </si>
  <si>
    <t>Készletértékesítés ellenértéke</t>
  </si>
  <si>
    <t>Szolgáltatások ellenértéke</t>
  </si>
  <si>
    <t>Közvetített szolgáltatások értéke</t>
  </si>
  <si>
    <t>Tulajdonosi bevételek</t>
  </si>
  <si>
    <t>Ellátási díjak</t>
  </si>
  <si>
    <t xml:space="preserve">Kiszámlázott általános forgalmi adó </t>
  </si>
  <si>
    <t>Általános forgalmi adó visszatérítése</t>
  </si>
  <si>
    <t>Kamatbevételek</t>
  </si>
  <si>
    <t>5.9.</t>
  </si>
  <si>
    <t>Egyéb pénzügyi műveletek bevételei</t>
  </si>
  <si>
    <t>5.10.</t>
  </si>
  <si>
    <t>Egyéb működési bevételek</t>
  </si>
  <si>
    <t>Felhalmozási bevételek (6.1.+…+6.5.)</t>
  </si>
  <si>
    <t>Immateriális javak értékesítése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</si>
  <si>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</si>
  <si>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</si>
  <si>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</si>
  <si>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</si>
  <si>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</si>
  <si>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</si>
  <si>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</si>
  <si>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>Működési célú átvett pénzeszközök (7.1. + … + 7.3.)</t>
  </si>
  <si>
    <t>Működési célú garancia- és kezességvállalásból megtérülések ÁH-n kívülről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</si>
  <si>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</si>
  <si>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</si>
  <si>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</si>
  <si>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</si>
  <si>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</si>
  <si>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Felhalmozási célú átvett pénzeszközök (8.1.+8.2.+8.3.)</t>
  </si>
  <si>
    <t>Felhalm. célú garancia- és kezességvállalásból megtérülések ÁH-n kívülről</t>
  </si>
  <si>
    <t>Felhalm. célú visszatérítendő támogatások, kölcsönök visszatér. ÁH-n kívülről</t>
  </si>
  <si>
    <t>Egyéb felhalmozási célú átvett pénzeszköz</t>
  </si>
  <si>
    <t>8.4.</t>
  </si>
  <si>
    <t>8.3.-ból EU-s támogatás (közvetlen)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</si>
  <si>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</si>
  <si>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</si>
  <si>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</si>
  <si>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</si>
  <si>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</si>
  <si>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</si>
  <si>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</si>
  <si>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</si>
  <si>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 Rövid lejáratú  hitelek, kölcsönök felvétele</t>
  </si>
  <si>
    <t xml:space="preserve">   11.</t>
  </si>
  <si>
    <t>Belföldi értékpapírok bevételei (11.1. +…+ 11.4.)</t>
  </si>
  <si>
    <t>Forgatási célú belföldi értékpapírok beváltása,  értékesítése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</si>
  <si>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</si>
  <si>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</si>
  <si>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</si>
  <si>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</si>
  <si>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</si>
  <si>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</si>
  <si>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</si>
  <si>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</si>
  <si>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</si>
  <si>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</si>
  <si>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</si>
  <si>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</si>
  <si>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</si>
  <si>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</si>
  <si>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</si>
  <si>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</si>
  <si>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</si>
  <si>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</si>
  <si>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</si>
  <si>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</si>
  <si>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</si>
  <si>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</si>
  <si>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</si>
  <si>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</si>
  <si>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</si>
  <si>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</si>
  <si>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</si>
  <si>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</si>
  <si>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</si>
  <si>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</si>
  <si>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</si>
  <si>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</si>
  <si>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FINANSZÍROZÁSI BEVÉTELEK ÖSSZESEN: (10. + … +15.)</t>
  </si>
  <si>
    <t xml:space="preserve">    17.</t>
  </si>
  <si>
    <t>KÖLTSÉGVETÉSI ÉS FINANSZÍROZÁSI BEVÉTELEK ÖSSZESEN: (9+16)</t>
  </si>
  <si>
    <t>A</t>
  </si>
  <si>
    <t>B</t>
  </si>
  <si>
    <t>C</t>
  </si>
  <si>
    <t>D</t>
  </si>
  <si>
    <t>E</t>
  </si>
  <si>
    <t xml:space="preserve">   Rövid lejáratú  hitelek, kölcsönök felvétele</t>
  </si>
  <si>
    <r>
      <t xml:space="preserve">   Működési költségvetés kiadásai </t>
    </r>
    <r>
      <rPr>
        <sz val="8"/>
        <rFont val="Times New Roman CE"/>
        <charset val="238"/>
      </rPr>
      <t>(1.1+…+1.5.)</t>
    </r>
  </si>
  <si>
    <t xml:space="preserve"> - az 1.5-ből: - Elvonások és befizetések</t>
  </si>
  <si>
    <t xml:space="preserve">   - Garancia- és kezességvállalásból kifizetés ÁH-n belülre</t>
  </si>
  <si>
    <t xml:space="preserve">   -Visszatérítendő támogatások, kölcsönök nyújtása ÁH-n belülre</t>
  </si>
  <si>
    <t xml:space="preserve">   - Visszatérítendő támogatások, kölcsönök törlesztése ÁH-n belülre</t>
  </si>
  <si>
    <t xml:space="preserve">   - Egyéb működési célú támogatások ÁH-n belülre</t>
  </si>
  <si>
    <t xml:space="preserve">   - Garancia és kezességvállalásból kifizetés ÁH-n kívülre</t>
  </si>
  <si>
    <t xml:space="preserve">   - Visszatérítendő támogatások, kölcsönök nyújtása ÁH-n kívülre</t>
  </si>
  <si>
    <t xml:space="preserve">   - Árkiegészítések, ártámogatások</t>
  </si>
  <si>
    <t>1.14.</t>
  </si>
  <si>
    <t xml:space="preserve">   - Kamattámogatások</t>
  </si>
  <si>
    <t>1.15.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</si>
  <si>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</si>
  <si>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</si>
  <si>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2.1.-ből EU-s forrásból megvalósuló beruházás</t>
  </si>
  <si>
    <t>2.3.-ból EU-s forrásból megvalósuló felújítás</t>
  </si>
  <si>
    <t>2.5.-ből        - Garancia- és kezességvállalásból kifizetés ÁH-n belülre</t>
  </si>
  <si>
    <t xml:space="preserve">   - Visszatérítendő támogatások, kölcsönök nyújtása ÁH-n belülre</t>
  </si>
  <si>
    <t xml:space="preserve">   - Egyéb felhalmozási célú támogatások ÁH-n belülre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</si>
  <si>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</si>
  <si>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</si>
  <si>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</si>
  <si>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</si>
  <si>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</si>
  <si>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</si>
  <si>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Tartalékok (3.1.+3.2.)</t>
  </si>
  <si>
    <t>KÖLTSÉGVETÉSI KIADÁSOK ÖSSZESEN (1+2+3)</t>
  </si>
  <si>
    <t>Hitel-, kölcsöntörlesztés államháztartáson kívülre (5.1. + … + 5.3.)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</si>
  <si>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</si>
  <si>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</si>
  <si>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</si>
  <si>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>Belföldi értékpapírok kiadásai (6.1. + … + 6.4.)</t>
  </si>
  <si>
    <t xml:space="preserve">   Forgatási célú belföldi értékpapírok vásárlása</t>
  </si>
  <si>
    <t xml:space="preserve">   Forgatási célú belföldi értékpapírok beváltása</t>
  </si>
  <si>
    <t xml:space="preserve">   Befektetési célú belföldi értékpapírok vásárlása</t>
  </si>
  <si>
    <t xml:space="preserve">   Befektetési célú belföldi értékpapírok beváltása</t>
  </si>
  <si>
    <t>Belföldi finanszírozás kiadásai (7.1. + … + 7.4.)</t>
  </si>
  <si>
    <t>Államháztartáson belüli megelőlegezések folyósítása</t>
  </si>
  <si>
    <t>Államháztartáson belüli megelőlegezések visszafizetése</t>
  </si>
  <si>
    <t xml:space="preserve"> Pénzeszközök betétként elhelyezése </t>
  </si>
  <si>
    <t xml:space="preserve"> Pénzügyi lízing kiadásai</t>
  </si>
  <si>
    <t>Külföldi finanszírozás kiadásai (6.1. + … + 6.4.)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</si>
  <si>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</si>
  <si>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</si>
  <si>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</si>
  <si>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 xml:space="preserve"> Külföldi hitelek, kölcsönök törlesztése</t>
  </si>
  <si>
    <t>FINANSZÍROZÁSI KIADÁSOK ÖSSZESEN: (5.+…+8.)</t>
  </si>
  <si>
    <t>KIADÁSOK ÖSSZESEN: (4+9)</t>
  </si>
  <si>
    <t>KÖLTSÉGVETÉSI, FINANSZÍROZÁSI BEVÉTELEK ÉS KIADÁSOK EGYENLEGE</t>
  </si>
  <si>
    <t>Költségvetési hiány, többlet ( költségvetési bevételek 9. sor - költségvetési kiadások 4. sor) (+/-)</t>
  </si>
  <si>
    <t>Finanszírozási bevételek, kiadások egyenlege (finanszírozási bevételek 16. sor - finanszírozási kiadások 9. sor) (+/-)</t>
  </si>
  <si>
    <t>Önkormányzatok működési támogatásai</t>
  </si>
  <si>
    <t>Működési célú támogatások államháztartáson belülről</t>
  </si>
  <si>
    <t>2.-ból EU-s támogatás</t>
  </si>
  <si>
    <t>Működési célú átvett pénzeszközök</t>
  </si>
  <si>
    <t>Költségvetési bevételek összesen (1.+2.+4.+5.+7.+…+12.)</t>
  </si>
  <si>
    <t>Hiány belső finanszírozásának bevételei (15.+…+18. )</t>
  </si>
  <si>
    <t xml:space="preserve">Hiány külső finanszírozásának bevételei (20.+…+21.) </t>
  </si>
  <si>
    <t xml:space="preserve">   Likviditási célú hitelek, kölcsönök felvétele</t>
  </si>
  <si>
    <t xml:space="preserve">   Értékpapírok bevételei</t>
  </si>
  <si>
    <t>Működési célú finanszírozási bevételek összesen (14.+19.)</t>
  </si>
  <si>
    <t>BEVÉTEL ÖSSZESEN (13.+22.)</t>
  </si>
  <si>
    <t>Költségvetési kiadások összesen (1.+...+12.)</t>
  </si>
  <si>
    <t>Likviditási célú hitelek törlesztése</t>
  </si>
  <si>
    <t>Működési célú finanszírozási kiadások összesen (14.+...+21.)</t>
  </si>
  <si>
    <t>KIADÁSOK ÖSSZESEN (13.+22.)</t>
  </si>
  <si>
    <t>Felhalmozási célú támogatások államháztartáson belülről</t>
  </si>
  <si>
    <t>1.-ből EU-s támogatás</t>
  </si>
  <si>
    <t>Felhalmozási bevételek</t>
  </si>
  <si>
    <t>Felhalmozási célú átvett pénzeszközök átvétele</t>
  </si>
  <si>
    <t>4.-ből EU-s támogatás (közvetlen)</t>
  </si>
  <si>
    <t>Egyéb felhalmozási célú bevételek</t>
  </si>
  <si>
    <t>Költségvetési bevételek összesen: (1.+3.+4.+6.+…+11.)</t>
  </si>
  <si>
    <t>Felhalmozási célú finanszírozási bevételek összesen (13.+19.)</t>
  </si>
  <si>
    <t>BEVÉTEL ÖSSZESEN (12+25)</t>
  </si>
  <si>
    <t>F</t>
  </si>
  <si>
    <t>G</t>
  </si>
  <si>
    <t>H</t>
  </si>
  <si>
    <t>I</t>
  </si>
  <si>
    <t>1.-ből EU-s forrásból megvalósuló beruházás</t>
  </si>
  <si>
    <t>3.-ból EU-s forrásból megvalósuló felújítás</t>
  </si>
  <si>
    <t>Költségvetési kiadások összesen: (1.+3.+5.+...+11.)</t>
  </si>
  <si>
    <t>Pénzügyi lízing kiadásai</t>
  </si>
  <si>
    <t>KIADÁSOK ÖSSZESEN (12+25)</t>
  </si>
  <si>
    <t>Felhalmozási célú finanszírozási kiadások összesen (13.+...+24.)</t>
  </si>
  <si>
    <t>1. sz. melléklet Kiadások táblázat C. oszlop 9 sora =</t>
  </si>
  <si>
    <t>1. sz. melléklet Kiadások táblázat D. oszlop 9 sora =</t>
  </si>
  <si>
    <t>1. sz. melléklet Kiadások táblázat E. oszlop 9 sora =</t>
  </si>
  <si>
    <t>1. sz. melléklet Bevételek táblázat C. oszlop 9 sora =</t>
  </si>
  <si>
    <t>2.1. számú melléklet C. oszlop 13. sor + 2.2. számú melléklet C. oszlop 12. sor</t>
  </si>
  <si>
    <t>1. sz. melléklet Bevételek táblázat C. oszlop 16 sora =</t>
  </si>
  <si>
    <t>2.1. számú melléklet C. oszlop 22. sor + 2.2. számú melléklet C. oszlop 25. sor</t>
  </si>
  <si>
    <t>1. sz. melléklet Bevételek táblázat C. oszlop 17 sora =</t>
  </si>
  <si>
    <t>2.1. számú melléklet C. oszlop 23. sor + 2.2. számú melléklet C. oszlop 26. sor</t>
  </si>
  <si>
    <t>1. sz. melléklet Bevételek táblázat D. oszlop 9 sora =</t>
  </si>
  <si>
    <t>1. sz. melléklet Bevételek táblázat D. oszlop 16 sora =</t>
  </si>
  <si>
    <t>1. sz. melléklet Bevételek táblázat D. oszlop 17 sora =</t>
  </si>
  <si>
    <t>1. sz. melléklet Bevételek táblázat E. oszlop 9 sora =</t>
  </si>
  <si>
    <t>1. sz. melléklet Bevételek táblázat E. oszlop 16 sora =</t>
  </si>
  <si>
    <t>1. sz. melléklet Bevételek táblázat E. oszlop 17 sora =</t>
  </si>
  <si>
    <t>2.1. számú melléklet D. oszlop 13. sor + 2.2. számú melléklet D. oszlop 12. sor</t>
  </si>
  <si>
    <t>2.1. számú melléklet D. oszlop 22. sor + 2.2. számú melléklet D. oszlop 25. sor</t>
  </si>
  <si>
    <t>2.1. számú melléklet D. oszlop 23. sor + 2.2. számú melléklet D. oszlop 26. sor</t>
  </si>
  <si>
    <t>2.1. számú melléklet E. oszlop 13. sor + 2.2. számú melléklet E. oszlop 12. sor</t>
  </si>
  <si>
    <t>2.1. számú melléklet E. oszlop 22. sor + 2.2. számú melléklet E. oszlop 25. sor</t>
  </si>
  <si>
    <t>2.1. számú melléklet E. oszlop 23. sor + 2.2. számú melléklet E. oszlop 26. sor</t>
  </si>
  <si>
    <t>1. sz. melléklet Kiadások táblázat C. oszlop 4 sora =</t>
  </si>
  <si>
    <t>1. sz. melléklet Kiadások táblázat C. oszlop 10 sora =</t>
  </si>
  <si>
    <t>1. sz. melléklet Kiadások táblázat D. oszlop 4 sora =</t>
  </si>
  <si>
    <t>1. sz. melléklet Kiadások táblázat D. oszlop 10 sora =</t>
  </si>
  <si>
    <t>1. sz. melléklet Kiadások táblázat E. oszlop 4 sora =</t>
  </si>
  <si>
    <t>1. sz. melléklet Kiadások táblázat E. oszlop 10 sora =</t>
  </si>
  <si>
    <t>2.1. számú melléklet G. oszlop 13. sor + 2.2. számú melléklet G. oszlop 12. sor</t>
  </si>
  <si>
    <t>2.1. számú melléklet G. oszlop 22. sor + 2.2. számú melléklet G. oszlop 25. sor</t>
  </si>
  <si>
    <t>2.1. számú melléklet G. oszlop 23. sor + 2.2. számú melléklet G. oszlop 26. sor</t>
  </si>
  <si>
    <t>2.1. számú melléklet H. oszlop 23. sor + 2.2. számú melléklet H. oszlop 26. sor</t>
  </si>
  <si>
    <t>2.1. számú melléklet H. oszlop 22. sor + 2.2. számú melléklet H. oszlop 25. sor</t>
  </si>
  <si>
    <t>2.1. számú melléklet I. oszlop 23. sor + 2.2. számú melléklet I. oszlop 26. sor</t>
  </si>
  <si>
    <t>2.1. számú melléklet I. oszlop 22. sor + 2.2. számú melléklet I. oszlop 25. sor</t>
  </si>
  <si>
    <t>2.1. számú melléklet H. oszlop 13. sor + 2.2. számú melléklet H. oszlop 12. sor</t>
  </si>
  <si>
    <t>2.1. számú melléklet I. oszlop 13. sor + 2.2. számú melléklet I. oszlop 12. sor</t>
  </si>
  <si>
    <t>G=(D+F)</t>
  </si>
  <si>
    <t>J</t>
  </si>
  <si>
    <t>K</t>
  </si>
  <si>
    <t>L=(J+K)</t>
  </si>
  <si>
    <t>M=(L/C)</t>
  </si>
  <si>
    <t>Összes bevétel, kiadás</t>
  </si>
  <si>
    <t>Feladat
megnevezése</t>
  </si>
  <si>
    <t xml:space="preserve"> 10.</t>
  </si>
  <si>
    <t>BEVÉTELEK ÖSSZESEN: (9+16)</t>
  </si>
  <si>
    <t>Felhalm. célú visszatérítendő tám., kölcsönök visszatér. ÁH-n kívülről</t>
  </si>
  <si>
    <t>Hitel-, kölcsöntörlesztés államháztartáson kívülre (5.1.+…+5.3.)</t>
  </si>
  <si>
    <t>Külföldi finanszírozás kiadásai (8.1. + … + 8.4.)</t>
  </si>
  <si>
    <t>Feladat 
megnevezése</t>
  </si>
  <si>
    <t>Működési bevételek (1.1.+…+1.10.)</t>
  </si>
  <si>
    <t>Kiszámlázott általános forgalmi adó</t>
  </si>
  <si>
    <t>Általános forgalmi adó visszatérülése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</si>
  <si>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</si>
  <si>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</si>
  <si>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</si>
  <si>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>Felhalmozási célú támogatások államháztartáson belülről (4.1.+4.2.)</t>
  </si>
  <si>
    <t>Egyéb felhalmozási célú támogatások bevételei államháztartáson belülről</t>
  </si>
  <si>
    <t>Felhalmozási bevételek (5.1.+…+5.3.)</t>
  </si>
  <si>
    <t>Felhalmozási célú átvett pénzeszközök</t>
  </si>
  <si>
    <t>Költségvetési bevételek összesen (1.+…+7.)</t>
  </si>
  <si>
    <t>Finanszírozási bevételek (9.1.+…+9.3.)</t>
  </si>
  <si>
    <t>9.1.</t>
  </si>
  <si>
    <t>9.2.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</si>
  <si>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</si>
  <si>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</si>
  <si>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</si>
  <si>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</si>
  <si>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</si>
  <si>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KIADÁSOK ÖSSZESEN: (1.+2.)</t>
  </si>
  <si>
    <t>Működési célú visszatérítendő támogatások kölcsönök visszatér. ÁH-n kívülről</t>
  </si>
  <si>
    <t>Felhalm. célú visszatérítendő támogatások kölcsönök visszatér. ÁH-n kívülről</t>
  </si>
  <si>
    <r>
      <t xml:space="preserve">Működési költségvetés kiadásai </t>
    </r>
    <r>
      <rPr>
        <sz val="8"/>
        <rFont val="Times New Roman CE"/>
        <charset val="238"/>
      </rPr>
      <t>(1.1+…+1.5.)</t>
    </r>
  </si>
  <si>
    <r>
      <t xml:space="preserve">Felhalmozási költségvetés kiadásai </t>
    </r>
    <r>
      <rPr>
        <sz val="8"/>
        <rFont val="Times New Roman CE"/>
        <charset val="238"/>
      </rPr>
      <t>(2.1.+2.3.+2.5.)</t>
    </r>
  </si>
  <si>
    <t>Hosszú lejáratú hitelek, kölcsönök törlesztése</t>
  </si>
  <si>
    <t>Likviditási célú hitelek, kölcsönök törlesztése pénzügyi vállalkozásnak</t>
  </si>
  <si>
    <t>Rövid lejáratú hitelek, kölcsönök törlesztése</t>
  </si>
  <si>
    <t>Forgatási célú belföldi értékpapírok vásárlása</t>
  </si>
  <si>
    <t>Forgatási célú belföldi értékpapírok beváltása</t>
  </si>
  <si>
    <t>Befektetési célú belföldi értékpapírok vásárlása</t>
  </si>
  <si>
    <t>Befektetési célú belföldi értékpapírok beváltása</t>
  </si>
  <si>
    <t xml:space="preserve">Pénzeszközök betétként elhelyezése </t>
  </si>
  <si>
    <t xml:space="preserve">B </t>
  </si>
  <si>
    <t>H=(D+…+G)</t>
  </si>
  <si>
    <t>I=(C+H)</t>
  </si>
  <si>
    <t xml:space="preserve"> I. Immateriális javak </t>
  </si>
  <si>
    <t>II. Tárgyi eszközök (03+08+13+18+23)</t>
  </si>
  <si>
    <t>1. Ingatlanok és kapcsolódó vagyoni értékű jogok   (04+05+06+07)</t>
  </si>
  <si>
    <t>1.1. Forgalomképtelen ingatlanok és kapcsolódó vagyoni értékű jogok</t>
  </si>
  <si>
    <t>1.3. Korlátozottan forgalomképes ingatlanok és kapcsolódó vagyoni értékű jogok</t>
  </si>
  <si>
    <t>1.4. Üzleti ingatlanok és kapcsolódó vagyoni értékű jogok</t>
  </si>
  <si>
    <t>2. Gépek, berendezések, felszerelések, járművek (09+10+11+12)</t>
  </si>
  <si>
    <t>2.1. Forgalomképtelen gépek, berendezések, felszerelések, járművek</t>
  </si>
  <si>
    <t>2.2. Nemzetgazdasági szempontból kiemelt jelentőségű gépek, berendezések, 
       felszerelések, járművek</t>
  </si>
  <si>
    <t>2.3. Korlátozottan forgalomképes gépek, berendezések, felszerelések, járművek</t>
  </si>
  <si>
    <t>2.4. Üzleti gépek, berendezések, felszerelések, járművek</t>
  </si>
  <si>
    <t>3. Tenyészállatok (14+15+16+17)</t>
  </si>
  <si>
    <t>3.1. Forgalomképtelen tenyészállatok</t>
  </si>
  <si>
    <t>3.2. Nemzetgazdasági szempontból kiemelt jelentőségű tenyészállatok</t>
  </si>
  <si>
    <t>3.3. Korlátozottan forgalomképes tenyészállatok</t>
  </si>
  <si>
    <t>3.4. Üzleti tenyészállatok</t>
  </si>
  <si>
    <t>4. Beruházások, felújítások (19+20+21+22)</t>
  </si>
  <si>
    <t>4.1. Forgalomképtelen beruházások, felújítások</t>
  </si>
  <si>
    <t>4.2. Nemzetgazdasági szempontból kiemelt jelentőségű beruházások, felújítások</t>
  </si>
  <si>
    <t>4.3. Korlátozottan forgalomképes beruházások, felújítások</t>
  </si>
  <si>
    <t>4.4. Üzleti beruházások, felújítások</t>
  </si>
  <si>
    <t>5. Tárgyi eszközök értékhelyesbítése (24+25+26+27)</t>
  </si>
  <si>
    <t>5.1. Forgalomképtelen tárgyi eszközök értékhelyesbítése</t>
  </si>
  <si>
    <t>5.2. Nemzetgazdasági szempontból kiemelt jelentőségű tárgyi eszközök 
       értékhelyesbítése</t>
  </si>
  <si>
    <t>5.3. Korlátozottan forgalomképes tárgyi eszközök értékhelyesbítése</t>
  </si>
  <si>
    <t>5.4. Üzleti tárgyi eszközök értékhelyesbítése</t>
  </si>
  <si>
    <t>III. Befektetett pénzügyi eszközök (29+34+39)</t>
  </si>
  <si>
    <t>1. Tartós részesedések (30+31+32+33)</t>
  </si>
  <si>
    <t>1.1. Forgalomképtelen tartós részesedések</t>
  </si>
  <si>
    <t>1.2. Nemzetgazdasági szempontból kiemelt jelentőségű tartós részesedések</t>
  </si>
  <si>
    <t>1.3. Korlátozottan forgalomképes tartós részesedések</t>
  </si>
  <si>
    <t>1.4. Üzleti tartós részesedések</t>
  </si>
  <si>
    <t>2. Tartós hitelviszonyt megtestesítő értékpapírok (35+36+37+38)</t>
  </si>
  <si>
    <t>2.1. Forgalomképtelen tartós hitelviszonyt megtestesítő értékpapírok</t>
  </si>
  <si>
    <t>2.2. Nemzetgazdasági szempontból kiemelt jelentőségű tartós hitelviszonyt 
       megtestesítő értékpapírok</t>
  </si>
  <si>
    <t>2.3. Korlátozottan forgalomképes tartós hitelviszonyt megtestesítő értékpapírok</t>
  </si>
  <si>
    <t>2.4. Üzleti tartós hitelviszonyt megtestesítő értékpapírok</t>
  </si>
  <si>
    <t>3. Befektetett pénzügyi eszközök értékhelyesbítése (40+41+42+43)</t>
  </si>
  <si>
    <t>3.1. Forgalomképtelen befektetett pénzügyi eszközök értékhelyesbítése</t>
  </si>
  <si>
    <t>3.2. Nemzetgazdasági szempontból kiemelt jelentőségű befektetett pénzügyi 
       eszközök értékhelyesbítése</t>
  </si>
  <si>
    <t>3.3. Korlátozottan forgalomképes befektetett pénzügyi eszközök értékhelyesbítése</t>
  </si>
  <si>
    <t>3.4. Üzleti befektetett pénzügyi eszközök értékhelyesbítése</t>
  </si>
  <si>
    <t>IV. Koncesszióba, vagyonkezelésbe adott eszközök</t>
  </si>
  <si>
    <t>A) NEMZETI VAGYONBA TARTOZÓ BEFEKTETETT ESZKÖZÖK 
     (01+02+28+44)</t>
  </si>
  <si>
    <t>I. Készletek</t>
  </si>
  <si>
    <t>II. Értékpapírok</t>
  </si>
  <si>
    <t>B) NEMZETI VAGYONBA TARTOZÓ FORGÓESZKÖZÖK (46+47)</t>
  </si>
  <si>
    <t>I. Lekötött bankbetétek</t>
  </si>
  <si>
    <t>II. Pénztárak, csekkek, betétkönyvek</t>
  </si>
  <si>
    <t>III. Forintszámlák</t>
  </si>
  <si>
    <t>IV. Devizaszámlák</t>
  </si>
  <si>
    <t>C) PÉNZESZKÖZÖK (49+50+51+52)</t>
  </si>
  <si>
    <t>I. Költségvetési évben esedékes követelések</t>
  </si>
  <si>
    <t>II. Költségvetési évet követően esedékes követelések</t>
  </si>
  <si>
    <t>III. Követelés jellegű sajátos elszámolások</t>
  </si>
  <si>
    <t>D) KÖVETELÉSEK (54+55+56)</t>
  </si>
  <si>
    <t>E) EGYÉB SAJÁTOS ESZKÖZOLDALI ELSZÁMOLÁSOK (58+59)</t>
  </si>
  <si>
    <t>F) AKTÍV IDŐBELI ELHATÁROLÁSOK</t>
  </si>
  <si>
    <t>ESZKÖZÖK ÖSSZESEN  (45+48+53+57+60+61)</t>
  </si>
  <si>
    <t xml:space="preserve">A </t>
  </si>
  <si>
    <t>I. Nemzeti vagyon induláskori értéke</t>
  </si>
  <si>
    <t>II. Nemzeti vagyon változásai</t>
  </si>
  <si>
    <t>III. Egyéb eszközök induláskori értéke és változásai</t>
  </si>
  <si>
    <t>IV. Felhalmozott eredmény</t>
  </si>
  <si>
    <t>V. Eszközök értékhelyesbítésének forrása</t>
  </si>
  <si>
    <t>VI. Mérleg szerinti eredmény</t>
  </si>
  <si>
    <t>G) SAJÁT TŐKE (01+….+06)</t>
  </si>
  <si>
    <t>II. Költségvetési évet követően esedékes kötelezettségek</t>
  </si>
  <si>
    <t>III. Kötelezettség jellegű sajátos elszámolások</t>
  </si>
  <si>
    <t>H) KÖTELEZETTSÉGEK (08+09+10)</t>
  </si>
  <si>
    <t>I) KINCSTÁRI SZÁMLAVEZETÉSSEL KAPCSOLATOS ELSZÁMOLÁSOK</t>
  </si>
  <si>
    <t>J) PASSZÍV IDŐBELI ELHATÁROLÁSOK</t>
  </si>
  <si>
    <t>FORRÁSOK ÖSSZESEN  (07+11+12+13)</t>
  </si>
  <si>
    <t>5.-ből EU-s támogatás</t>
  </si>
  <si>
    <t>Módosított ei.</t>
  </si>
  <si>
    <t>Eredeti ei.</t>
  </si>
  <si>
    <t>7.5.</t>
  </si>
  <si>
    <t>Irányító szervi támogatás folyósítása (intézményfinanszírozás)</t>
  </si>
  <si>
    <t>Belföldi finanszírozás kiadásai (7.1. + … + 7.5.)</t>
  </si>
  <si>
    <t xml:space="preserve">Kötelező feladatok </t>
  </si>
  <si>
    <t xml:space="preserve">Önként vállalt feladatok </t>
  </si>
  <si>
    <t>Államigazgatási feladatok</t>
  </si>
  <si>
    <t xml:space="preserve"> - 2.3-ból EU-s támogatás</t>
  </si>
  <si>
    <t>- 4.2-ből EU-s támogatás</t>
  </si>
  <si>
    <t>KÖLTSÉGVETÉSI BEVÉTELEK ÖSSZESEN: (1.+…+7.)</t>
  </si>
  <si>
    <t xml:space="preserve"> - 2.3-ból EU-s forrásból tám. megvalósuló programok, projektek kiadásai</t>
  </si>
  <si>
    <t>Önként vállalt feladatok</t>
  </si>
  <si>
    <t xml:space="preserve"> - 2.3.-ból EU-s támogatás</t>
  </si>
  <si>
    <t>- 4.2.-ből EU-s támogatás</t>
  </si>
  <si>
    <t xml:space="preserve"> - 2.3.-ból EU-s forrásból tám. megvalósuló programok, projektek kiadásai</t>
  </si>
  <si>
    <t>Költségvetési maradvány összege</t>
  </si>
  <si>
    <t>Intézményt megillető maradvány</t>
  </si>
  <si>
    <t>Jóváhagyott</t>
  </si>
  <si>
    <t>Államigazgataási feladatok</t>
  </si>
  <si>
    <t>Kötelező feladatok</t>
  </si>
  <si>
    <t xml:space="preserve">Államigazgatási feladatok </t>
  </si>
  <si>
    <t>Hitel-, kölcsönfelvétel államháztartáson kívülről  (10.1.+…+10.3.)</t>
  </si>
  <si>
    <t>J=(F+…+I)</t>
  </si>
  <si>
    <t>Összesen (1+8)</t>
  </si>
  <si>
    <t>„0”-ra leírt eszközök</t>
  </si>
  <si>
    <t>Használatban lévő kisértékű immateriális javak</t>
  </si>
  <si>
    <t>Használatban lévő kisértékű tárgyi eszközök</t>
  </si>
  <si>
    <t>Készletek</t>
  </si>
  <si>
    <t>01 számlacsoportban nyilvántartott befektetett eszközök (6+…+9)</t>
  </si>
  <si>
    <t>Államháztartáson belüli vagyonkezelésbe adott eszközök</t>
  </si>
  <si>
    <t>Bérbe vett befektetett eszközök</t>
  </si>
  <si>
    <t>Letétbe, bizományba, üzemeltetésre átvett befektetett eszközök</t>
  </si>
  <si>
    <t> PPP konstrukcióban használt befektetett eszközök</t>
  </si>
  <si>
    <t> 02 számlacsoportban nyilvántartott készletek (11+…+13)</t>
  </si>
  <si>
    <t> Bérbe vett készletek</t>
  </si>
  <si>
    <t> Letétbe bizományba átvett készletek</t>
  </si>
  <si>
    <t> Intervenciós készletek</t>
  </si>
  <si>
    <t>Közgyűjtemény</t>
  </si>
  <si>
    <t> Saját gyűjteményben nyilvántartott kulturális javak</t>
  </si>
  <si>
    <t> Régészeti lelet</t>
  </si>
  <si>
    <t> Egyéb érték nélkül nyilvántartott eszközök</t>
  </si>
  <si>
    <t>Összesen (1+…+4)+5+10+14+(18+…+31):</t>
  </si>
  <si>
    <t>Gyűjtemény, régészeti lelet* (15+…+17)</t>
  </si>
  <si>
    <t>* Nvt. 1. § (2) bekezdés g) és h) pontja szerinti kulturális javak és régészeti eszközök</t>
  </si>
  <si>
    <t>Nyilvántartott függő követelések, kötelezettségek
(db)</t>
  </si>
  <si>
    <t>Támogatási célú előlegekkel kapcsolatos elszámolási követelések</t>
  </si>
  <si>
    <t>Egyéb függő követelések</t>
  </si>
  <si>
    <t>Biztos (jövőbeni) követelések</t>
  </si>
  <si>
    <t>Függő és biztos (jövőbeni) követelések (1+…+3)</t>
  </si>
  <si>
    <t>Kezességgel-, garanciavállalással kapcsolatos függő kötelezettségek</t>
  </si>
  <si>
    <t>Peres ügyekkel kapcsolatos függő kötelezettségek</t>
  </si>
  <si>
    <t>El nem ismert tartozások</t>
  </si>
  <si>
    <t>Támogatási célú előlegekkel kapcsolatos elszámolási kötelezettségek</t>
  </si>
  <si>
    <t>Egyéb függő kötelezettségek</t>
  </si>
  <si>
    <t>Függő kötelezettségek (5+…+9)</t>
  </si>
  <si>
    <t>Összesen (4+10)+(11+…+33):</t>
  </si>
  <si>
    <t>I. Költségvetési évben esedékes kötelezettségek</t>
  </si>
  <si>
    <t>Elvonás
(-)</t>
  </si>
  <si>
    <r>
      <t>E=(C</t>
    </r>
    <r>
      <rPr>
        <b/>
        <sz val="8"/>
        <rFont val="Arial"/>
        <family val="2"/>
        <charset val="238"/>
      </rPr>
      <t>-D</t>
    </r>
    <r>
      <rPr>
        <b/>
        <sz val="8"/>
        <rFont val="Times New Roman CE"/>
        <family val="1"/>
        <charset val="238"/>
      </rPr>
      <t>)</t>
    </r>
  </si>
  <si>
    <t>Közhatalmi bevételek (4.1.+...+4.7.)</t>
  </si>
  <si>
    <t>4.5.</t>
  </si>
  <si>
    <t>4.6.</t>
  </si>
  <si>
    <t>4.7.</t>
  </si>
  <si>
    <t>Építményadó</t>
  </si>
  <si>
    <t>Idegenforgalmi adó</t>
  </si>
  <si>
    <t>Iparűzési adó</t>
  </si>
  <si>
    <t>Talajterhelési díj</t>
  </si>
  <si>
    <t>Egyéb korrekciós tételek (+,-)</t>
  </si>
  <si>
    <t>Kiemelt előirányzat, előirányzat megnevezése</t>
  </si>
  <si>
    <t>Közfoglalkoztatottak tényleges állományi létszáma (fő)</t>
  </si>
  <si>
    <t>Éves tényleges állományi  létszám  (fő)</t>
  </si>
  <si>
    <t>2016. évi eredeti előirányzat BEVÉTELEK</t>
  </si>
  <si>
    <t>Ibrány Város Önkormányzata</t>
  </si>
  <si>
    <t>Ibrányi Polgármesteri Hivatal</t>
  </si>
  <si>
    <t>GAMESZ</t>
  </si>
  <si>
    <t>ILMKS</t>
  </si>
  <si>
    <t>Ibrány Városi Óvoda</t>
  </si>
  <si>
    <t>Gépjárműadó</t>
  </si>
  <si>
    <t>4.4.</t>
  </si>
  <si>
    <t>Nagyértékű gépek beszerzése</t>
  </si>
  <si>
    <t>Ingatlan vásárlás</t>
  </si>
  <si>
    <t>Gyalogos átkelőhely létesítés általános iskolánál</t>
  </si>
  <si>
    <t>Tervek készítése</t>
  </si>
  <si>
    <t>Pályázatok, tanulmányok készítése</t>
  </si>
  <si>
    <t>Busz vásárlás</t>
  </si>
  <si>
    <t>Közmunka programban végzett felújítások</t>
  </si>
  <si>
    <t>Cseke féle lakáshoz kapcsolódó felújítás</t>
  </si>
  <si>
    <t>Volt labor épület rendbetétele</t>
  </si>
  <si>
    <t>Gépjármadó</t>
  </si>
  <si>
    <t>Hűtőkapacitás bővítése ibrányi 1629/1 hrsz-ú ingatlanon</t>
  </si>
  <si>
    <t>Pályázat önerő része</t>
  </si>
  <si>
    <t>Napelemes lámpa kialakítása Hunyadi utcán</t>
  </si>
  <si>
    <t>Pályázati önerő rész</t>
  </si>
  <si>
    <t>Forintban</t>
  </si>
  <si>
    <t>Egyéb felújítás (Tanuszoda, Toldi és Táncsics utca, egyéb)</t>
  </si>
  <si>
    <t>az a lakáscélú ingatlan, melyben orvosi rendelő működik (2 db)</t>
  </si>
  <si>
    <t>Helyiségek hasznosítása utáni kedvezmény, mentesség</t>
  </si>
  <si>
    <t>Eszközök hasznosítása utáni kedvezmény, mentesség</t>
  </si>
  <si>
    <t>a) 65. életéveét betöltött egyedül élő nőnek, férfinak, a korhatár elérését követő évtől (297 fő)</t>
  </si>
  <si>
    <t>b) 70. életévüket(mindketten) betöltött házaspárnak, a korhatár elérését követő évtől (189 fő)</t>
  </si>
  <si>
    <t>Aki saját háztartásában 3, vagy több kikorú gyermek eltartásáról gondoskodik (138 fő)</t>
  </si>
  <si>
    <t>Beépítetlen építési telek 50 %-os kevezménye (90 db)</t>
  </si>
  <si>
    <t>Polgárőrök 50 %-os kedvezménye (70 fő)</t>
  </si>
  <si>
    <t>Önkormányzat</t>
  </si>
  <si>
    <t>Intézmények</t>
  </si>
  <si>
    <t>1.2. Nemzetgazdasági szempontból kiemelt jelentőségű ingatlanok és kapcsolódó vagyoni értékű jogok</t>
  </si>
  <si>
    <t>I. Fizetendő általános forgalmi adó elszámolása</t>
  </si>
  <si>
    <t>II. December havi illetmények, munkabérek elszámolása</t>
  </si>
  <si>
    <t>III. Utalványok, bérletek és más hasonló, készpénz-helyettesítő fizetési 
     eszköznek nem minősülő eszközök elszámolásai</t>
  </si>
  <si>
    <t>63.</t>
  </si>
  <si>
    <t>Forintban !</t>
  </si>
  <si>
    <t>Forintban!</t>
  </si>
  <si>
    <t>Ibrányi Nyugdíjasok Egyesülete</t>
  </si>
  <si>
    <t>Ibrányi Polgárőr Egyesület</t>
  </si>
  <si>
    <t>Ibrányi Sportegyesület</t>
  </si>
  <si>
    <t>Működésének támogatása</t>
  </si>
  <si>
    <t>Ibrányi Rendőrőrs</t>
  </si>
  <si>
    <t>Ibrányi Úszó Sportegyesület</t>
  </si>
  <si>
    <t>Önkéntes Tűzoltó Egyesület</t>
  </si>
  <si>
    <t>Laudamus Énekkra</t>
  </si>
  <si>
    <t>Felső-Tisza Vidéki Többcélú Kistérségi Társulás</t>
  </si>
  <si>
    <t>Döge Sportegyesület</t>
  </si>
  <si>
    <t>Váci Mihály Társaság</t>
  </si>
  <si>
    <t>Felső-Tisza Vidéki Búváregyesület</t>
  </si>
  <si>
    <t>Mozgás Rekreációs</t>
  </si>
  <si>
    <t>MFB hitelszerződés 1-2-14-4400-0425-3 tőke</t>
  </si>
  <si>
    <t>2014</t>
  </si>
  <si>
    <t>2029</t>
  </si>
  <si>
    <t>MFB hitelszerződés 1-2-14-4400-0425-3 kamat</t>
  </si>
  <si>
    <t>MFB hitelszerződés 1-2-14-4400-0423-1 tőke</t>
  </si>
  <si>
    <t>MFB hitelszerződés 1-2-14-4400-0423-1 kamat</t>
  </si>
  <si>
    <t>1314/3. hrsz-ú ingatlan vásárlás tőke</t>
  </si>
  <si>
    <t>2015</t>
  </si>
  <si>
    <t>2030</t>
  </si>
  <si>
    <t>1314/3. hrsz-ú ingatlan vásárlás kamat</t>
  </si>
  <si>
    <t>Lízingszerződés autóvásárláshoz kapcsolódóan - tőke</t>
  </si>
  <si>
    <t>2021</t>
  </si>
  <si>
    <t>Lízingszerződés autóvásárláshoz kapcsolódóan - kamat</t>
  </si>
  <si>
    <t>Felhalmozási célú finanszírozási kiadások (hiteltörlesztés, értékpapír vásárlás, stb.)</t>
  </si>
  <si>
    <t>adatok forintban</t>
  </si>
  <si>
    <t>Jogcím</t>
  </si>
  <si>
    <t>Önkormányzati hivatal működésének támogatása</t>
  </si>
  <si>
    <t>Település-üzemeltetéshez kapcsolódó támogatás</t>
  </si>
  <si>
    <t>a) Zöldterület-gazdálkodással kapcsolatos feladatok ellátásának támogatása</t>
  </si>
  <si>
    <t>b) Közvilágítás fenntartásának támogatása</t>
  </si>
  <si>
    <t>c) köztemető fenntartásával kapcsolatos feladatok támogatása</t>
  </si>
  <si>
    <t>d) Közutak fenntartásáank támogatása</t>
  </si>
  <si>
    <t>Egyéb önkormányzati feladatok támogatása</t>
  </si>
  <si>
    <t>Lakott külterülettel kapcsolatos feladatok támogatása</t>
  </si>
  <si>
    <t>A 2015. évről áthúzódó bérkompenzáció támogatása</t>
  </si>
  <si>
    <t>I. A helyi önkormányzatok működésének támogatása</t>
  </si>
  <si>
    <t>II. 1. Óvodapedagógusok, és az óvodapedagógusok nevelő munkáját közvetlenül segítők bértámogatása</t>
  </si>
  <si>
    <t>I.1.(1) 1 Pedagógusok bértámogatása</t>
  </si>
  <si>
    <t>I.1.(2) 1 Segítők bértámogatása</t>
  </si>
  <si>
    <t>I.1.(1) 2 Pedagógusok bértámogatása</t>
  </si>
  <si>
    <t>I.1.(2) 2 Segítők bértámogatása</t>
  </si>
  <si>
    <t>I.1.(4) 2 Pedagógusok bértámogatása</t>
  </si>
  <si>
    <t>II. 2. Óvodaműködtetés támogatása</t>
  </si>
  <si>
    <t>II.2.(8) 1 Óvodaműködtetés 8 hó</t>
  </si>
  <si>
    <t>II.2.(8) 2 Óvodaműködtetés 4 hó</t>
  </si>
  <si>
    <t>II. 4. A köznevelési intézmények működtetéséhez kapcsolódó támogatás</t>
  </si>
  <si>
    <t>II. 5. Kiegészítő támogatás az óvodapedagógusok minősítéséhez (II.5.a (1) pedagósuk II. kategóraiába sorolt  óvodapedagógusok kieg. tám.)</t>
  </si>
  <si>
    <t>II. A települési önkomrányzatok egyes köznevelési feladatainak támogatása</t>
  </si>
  <si>
    <t>III. 2. A települési önkormányzatok szociális feladatainak egyéb támogatása</t>
  </si>
  <si>
    <t>III.3.a Család- és gyermekjóléti szolgálat</t>
  </si>
  <si>
    <t>III.3.a Család- és gyermekjóléti központ</t>
  </si>
  <si>
    <t>III.5.a. A finanszírozás szempontjából elismert dolgozók létszáma</t>
  </si>
  <si>
    <t>III.5.b Gyermekétkeztetés üzemeltetési támogatása</t>
  </si>
  <si>
    <t>III.5.c A rászoruló gyermekiek intézményen kívüli szünidei étkeztetésének támogatása</t>
  </si>
  <si>
    <t>III. A települési önkormányzatok szocilális, gyermekjóléti és gyermekétkezetési feladatinak támogatása</t>
  </si>
  <si>
    <t>IV.1.d Könyvtári, közművelődési és múzeumi feladatok támogatása, Települési önkormányzatok nyilvános könyvtári és a közművelődési feladatainak támogatása</t>
  </si>
  <si>
    <t>2016. évi támogatás tény</t>
  </si>
  <si>
    <t>Beszámítás az I.1. jogcímekhez kapcsolódó kiegészítés</t>
  </si>
  <si>
    <t>ezer Ft-ban</t>
  </si>
  <si>
    <t>A.</t>
  </si>
  <si>
    <t>B.</t>
  </si>
  <si>
    <t>C.</t>
  </si>
  <si>
    <t>D.</t>
  </si>
  <si>
    <t>E.</t>
  </si>
  <si>
    <t>F.</t>
  </si>
  <si>
    <t>G.</t>
  </si>
  <si>
    <t>H.</t>
  </si>
  <si>
    <t>I.</t>
  </si>
  <si>
    <t>J.</t>
  </si>
  <si>
    <t>K.</t>
  </si>
  <si>
    <t>L.</t>
  </si>
  <si>
    <t>M.</t>
  </si>
  <si>
    <t>N.</t>
  </si>
  <si>
    <t>P.</t>
  </si>
  <si>
    <t>Személyi jellegű ráfordítások</t>
  </si>
  <si>
    <t>Tevékenységek eredménye</t>
  </si>
  <si>
    <t>Pénzügyi műveletek eredménye</t>
  </si>
  <si>
    <t>Mérleg szerinti eredmény</t>
  </si>
  <si>
    <t>Intézmények összesen</t>
  </si>
  <si>
    <t>Mindösszesen</t>
  </si>
  <si>
    <t>Ibrányi László Műveődési Központ, Könyvtár és Sportcentrum</t>
  </si>
  <si>
    <t>Pénzügyi műveletek eredmény-szemléletű bevételei</t>
  </si>
  <si>
    <t>Egyéb ráfordítások</t>
  </si>
  <si>
    <t>Érték-csökkenési leírás</t>
  </si>
  <si>
    <t xml:space="preserve">Anyagjellegű ráfordítások </t>
  </si>
  <si>
    <t>Egyéb eredmény-szemléletű bevételek</t>
  </si>
  <si>
    <t>Tevékenység nettó eredményszem-léletű bevétele</t>
  </si>
  <si>
    <t>Pénzügyi műveletek ráfordításai</t>
  </si>
  <si>
    <t xml:space="preserve">Ibrány Város Önkormányzata és intézményei 2016. évi eredménykimutatása </t>
  </si>
  <si>
    <t>2015.12.31. napján összesen</t>
  </si>
  <si>
    <t>Alaptevékenység költségvetési egyenlege</t>
  </si>
  <si>
    <t>Alaptevékenység finanszirozási egyenlege</t>
  </si>
  <si>
    <t>Alaptevékenység maradványa</t>
  </si>
  <si>
    <t>Vállalkozási tevékenység költségvetési egyenlege</t>
  </si>
  <si>
    <t>Vállalkozási tevékenység finanszirozási   egyenlege</t>
  </si>
  <si>
    <t>Vállalkozási tevékenység maradványa</t>
  </si>
  <si>
    <t>Összes maradvány</t>
  </si>
  <si>
    <t>Korrekció (intézmény megszűnés miatt)</t>
  </si>
  <si>
    <t>Jóváhagyandó korrigált maradvány</t>
  </si>
  <si>
    <t>Alaptevékenység kötelezettségvállalással terhelt maradványa</t>
  </si>
  <si>
    <t>Alaptevékenység szabad maradványa</t>
  </si>
  <si>
    <t>Ft-ban</t>
  </si>
  <si>
    <t>Vállalkozási tevékenységet terlehő befizetési kötelezettség</t>
  </si>
  <si>
    <t>Vállalkozási tevékenység felhasználható maradványa</t>
  </si>
  <si>
    <t>Ibrány Város Önkormányzata és intézményei 2016. évi maradvány kimutatása</t>
  </si>
  <si>
    <t>2017. évi költségvetésben jóváhagyott</t>
  </si>
</sst>
</file>

<file path=xl/styles.xml><?xml version="1.0" encoding="utf-8"?>
<styleSheet xmlns="http://schemas.openxmlformats.org/spreadsheetml/2006/main">
  <numFmts count="12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#,###"/>
    <numFmt numFmtId="165" formatCode="#"/>
    <numFmt numFmtId="166" formatCode="_-* #,##0\ _F_t_-;\-* #,##0\ _F_t_-;_-* &quot;-&quot;??\ _F_t_-;_-@_-"/>
    <numFmt numFmtId="167" formatCode="#,##0.0"/>
    <numFmt numFmtId="168" formatCode="#,###__;\-#,###__"/>
    <numFmt numFmtId="169" formatCode="00"/>
    <numFmt numFmtId="170" formatCode="#,###\ _F_t;\-#,###\ _F_t"/>
    <numFmt numFmtId="171" formatCode="#,###__"/>
    <numFmt numFmtId="172" formatCode="_-* #,##0.00\ _F_t_-;\-* #,##0.00\ _F_t_-;_-* \-??\ _F_t_-;_-@_-"/>
    <numFmt numFmtId="173" formatCode="_(* #,##0.00_);_(* \(#,##0.00\);_(* &quot;-&quot;??_);_(@_)"/>
  </numFmts>
  <fonts count="93">
    <font>
      <sz val="10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 CE"/>
      <charset val="238"/>
    </font>
    <font>
      <sz val="11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9"/>
      <name val="Times New Roman CE"/>
      <family val="1"/>
      <charset val="238"/>
    </font>
    <font>
      <i/>
      <sz val="10"/>
      <name val="Times New Roman CE"/>
      <family val="1"/>
      <charset val="238"/>
    </font>
    <font>
      <i/>
      <sz val="11"/>
      <name val="Times New Roman CE"/>
      <family val="1"/>
      <charset val="238"/>
    </font>
    <font>
      <sz val="12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0"/>
      <name val="Times New Roman CE"/>
      <family val="1"/>
      <charset val="238"/>
    </font>
    <font>
      <sz val="10"/>
      <name val="Times New Roman CE"/>
      <charset val="238"/>
    </font>
    <font>
      <i/>
      <sz val="10"/>
      <name val="Times New Roman CE"/>
      <charset val="238"/>
    </font>
    <font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sz val="12"/>
      <name val="Times New Roman CE"/>
      <charset val="238"/>
    </font>
    <font>
      <b/>
      <sz val="12"/>
      <color indexed="10"/>
      <name val="Times New Roman CE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i/>
      <sz val="8"/>
      <name val="Times New Roman CE"/>
      <charset val="238"/>
    </font>
    <font>
      <b/>
      <sz val="11"/>
      <name val="Times New Roman CE"/>
      <charset val="238"/>
    </font>
    <font>
      <b/>
      <i/>
      <sz val="9"/>
      <name val="Times New Roman CE"/>
      <charset val="238"/>
    </font>
    <font>
      <b/>
      <sz val="14"/>
      <name val="Times New Roman CE"/>
      <charset val="238"/>
    </font>
    <font>
      <sz val="9"/>
      <name val="Times New Roman CE"/>
      <charset val="238"/>
    </font>
    <font>
      <b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sz val="9"/>
      <color indexed="17"/>
      <name val="Times New Roman CE"/>
      <charset val="238"/>
    </font>
    <font>
      <sz val="10"/>
      <color indexed="17"/>
      <name val="Times New Roman CE"/>
      <charset val="238"/>
    </font>
    <font>
      <i/>
      <sz val="8"/>
      <name val="Times New Roman"/>
      <family val="1"/>
      <charset val="238"/>
    </font>
    <font>
      <b/>
      <i/>
      <sz val="8"/>
      <name val="Times New Roman"/>
      <family val="1"/>
      <charset val="238"/>
    </font>
    <font>
      <sz val="10"/>
      <name val="Times New Roman CE"/>
      <charset val="238"/>
    </font>
    <font>
      <sz val="12"/>
      <name val="Times New Roman"/>
      <family val="1"/>
      <charset val="238"/>
    </font>
    <font>
      <b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sz val="6"/>
      <name val="Times New Roman CE"/>
      <family val="1"/>
      <charset val="238"/>
    </font>
    <font>
      <b/>
      <sz val="12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9"/>
      <name val="Times New Roman CE"/>
      <family val="1"/>
      <charset val="238"/>
    </font>
    <font>
      <b/>
      <sz val="8"/>
      <name val="Times New Roman"/>
      <family val="1"/>
    </font>
    <font>
      <b/>
      <i/>
      <sz val="8"/>
      <name val="Times New Roman"/>
      <family val="1"/>
    </font>
    <font>
      <b/>
      <sz val="12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1"/>
      <name val="Times New Roman CE"/>
      <family val="1"/>
      <charset val="238"/>
    </font>
    <font>
      <sz val="10"/>
      <name val="Wingdings"/>
      <charset val="2"/>
    </font>
    <font>
      <b/>
      <sz val="8"/>
      <name val="Arial"/>
      <family val="2"/>
      <charset val="238"/>
    </font>
    <font>
      <b/>
      <i/>
      <sz val="4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9"/>
      <name val="Times New Roman"/>
      <family val="1"/>
      <charset val="238"/>
    </font>
    <font>
      <b/>
      <u/>
      <sz val="8"/>
      <name val="Times New Roman"/>
      <family val="1"/>
      <charset val="238"/>
    </font>
    <font>
      <sz val="10"/>
      <name val="MS Sans Serif"/>
      <family val="2"/>
      <charset val="238"/>
    </font>
    <font>
      <b/>
      <sz val="9"/>
      <name val="Calibri"/>
      <family val="2"/>
      <charset val="238"/>
      <scheme val="minor"/>
    </font>
    <font>
      <sz val="10"/>
      <name val="Arial CE"/>
      <charset val="238"/>
    </font>
    <font>
      <sz val="9"/>
      <name val="Calibri"/>
      <family val="2"/>
      <charset val="238"/>
      <scheme val="minor"/>
    </font>
    <font>
      <b/>
      <sz val="10"/>
      <name val="MS Sans Serif"/>
      <family val="2"/>
      <charset val="238"/>
    </font>
    <font>
      <sz val="10"/>
      <name val="Calibri"/>
      <family val="2"/>
      <charset val="238"/>
      <scheme val="minor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Times New Roman"/>
      <family val="1"/>
      <charset val="238"/>
    </font>
  </fonts>
  <fills count="27">
    <fill>
      <patternFill patternType="none"/>
    </fill>
    <fill>
      <patternFill patternType="gray125"/>
    </fill>
    <fill>
      <patternFill patternType="lightHorizontal"/>
    </fill>
    <fill>
      <patternFill patternType="gray125">
        <bgColor indexed="47"/>
      </patternFill>
    </fill>
    <fill>
      <patternFill patternType="solid">
        <fgColor indexed="65"/>
        <bgColor indexed="64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511">
    <xf numFmtId="0" fontId="0" fillId="0" borderId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5" fillId="0" borderId="0"/>
    <xf numFmtId="0" fontId="42" fillId="0" borderId="0"/>
    <xf numFmtId="9" fontId="2" fillId="0" borderId="0" applyFont="0" applyFill="0" applyBorder="0" applyAlignment="0" applyProtection="0"/>
    <xf numFmtId="0" fontId="2" fillId="0" borderId="0"/>
    <xf numFmtId="0" fontId="65" fillId="0" borderId="0"/>
    <xf numFmtId="0" fontId="67" fillId="0" borderId="0"/>
    <xf numFmtId="43" fontId="1" fillId="0" borderId="0" applyFont="0" applyFill="0" applyBorder="0" applyAlignment="0" applyProtection="0"/>
    <xf numFmtId="0" fontId="67" fillId="0" borderId="0"/>
    <xf numFmtId="0" fontId="71" fillId="5" borderId="0" applyNumberFormat="0" applyBorder="0" applyAlignment="0" applyProtection="0"/>
    <xf numFmtId="0" fontId="71" fillId="6" borderId="0" applyNumberFormat="0" applyBorder="0" applyAlignment="0" applyProtection="0"/>
    <xf numFmtId="0" fontId="72" fillId="7" borderId="0" applyNumberFormat="0" applyBorder="0" applyAlignment="0" applyProtection="0"/>
    <xf numFmtId="0" fontId="72" fillId="8" borderId="0" applyNumberFormat="0" applyBorder="0" applyAlignment="0" applyProtection="0"/>
    <xf numFmtId="0" fontId="72" fillId="9" borderId="0" applyNumberFormat="0" applyBorder="0" applyAlignment="0" applyProtection="0"/>
    <xf numFmtId="0" fontId="72" fillId="10" borderId="0" applyNumberFormat="0" applyBorder="0" applyAlignment="0" applyProtection="0"/>
    <xf numFmtId="0" fontId="72" fillId="11" borderId="0" applyNumberFormat="0" applyBorder="0" applyAlignment="0" applyProtection="0"/>
    <xf numFmtId="0" fontId="72" fillId="12" borderId="0" applyNumberFormat="0" applyBorder="0" applyAlignment="0" applyProtection="0"/>
    <xf numFmtId="0" fontId="71" fillId="13" borderId="0" applyNumberFormat="0" applyBorder="0" applyAlignment="0" applyProtection="0"/>
    <xf numFmtId="0" fontId="71" fillId="14" borderId="0" applyNumberFormat="0" applyBorder="0" applyAlignment="0" applyProtection="0"/>
    <xf numFmtId="0" fontId="72" fillId="15" borderId="0" applyNumberFormat="0" applyBorder="0" applyAlignment="0" applyProtection="0"/>
    <xf numFmtId="0" fontId="72" fillId="16" borderId="0" applyNumberFormat="0" applyBorder="0" applyAlignment="0" applyProtection="0"/>
    <xf numFmtId="0" fontId="72" fillId="17" borderId="0" applyNumberFormat="0" applyBorder="0" applyAlignment="0" applyProtection="0"/>
    <xf numFmtId="0" fontId="72" fillId="10" borderId="0" applyNumberFormat="0" applyBorder="0" applyAlignment="0" applyProtection="0"/>
    <xf numFmtId="0" fontId="72" fillId="15" borderId="0" applyNumberFormat="0" applyBorder="0" applyAlignment="0" applyProtection="0"/>
    <xf numFmtId="0" fontId="72" fillId="14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3" fillId="20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21" borderId="0" applyNumberFormat="0" applyBorder="0" applyAlignment="0" applyProtection="0"/>
    <xf numFmtId="0" fontId="73" fillId="5" borderId="0" applyNumberFormat="0" applyBorder="0" applyAlignment="0" applyProtection="0"/>
    <xf numFmtId="0" fontId="73" fillId="22" borderId="0" applyNumberFormat="0" applyBorder="0" applyAlignment="0" applyProtection="0"/>
    <xf numFmtId="0" fontId="73" fillId="18" borderId="0" applyNumberFormat="0" applyBorder="0" applyAlignment="0" applyProtection="0"/>
    <xf numFmtId="0" fontId="73" fillId="23" borderId="0" applyNumberFormat="0" applyBorder="0" applyAlignment="0" applyProtection="0"/>
    <xf numFmtId="0" fontId="73" fillId="19" borderId="0" applyNumberFormat="0" applyBorder="0" applyAlignment="0" applyProtection="0"/>
    <xf numFmtId="0" fontId="73" fillId="21" borderId="0" applyNumberFormat="0" applyBorder="0" applyAlignment="0" applyProtection="0"/>
    <xf numFmtId="0" fontId="73" fillId="5" borderId="0" applyNumberFormat="0" applyBorder="0" applyAlignment="0" applyProtection="0"/>
    <xf numFmtId="0" fontId="73" fillId="6" borderId="0" applyNumberFormat="0" applyBorder="0" applyAlignment="0" applyProtection="0"/>
    <xf numFmtId="0" fontId="74" fillId="8" borderId="0" applyNumberFormat="0" applyBorder="0" applyAlignment="0" applyProtection="0"/>
    <xf numFmtId="0" fontId="75" fillId="24" borderId="83" applyNumberFormat="0" applyAlignment="0" applyProtection="0"/>
    <xf numFmtId="0" fontId="76" fillId="13" borderId="84" applyNumberFormat="0" applyAlignment="0" applyProtection="0"/>
    <xf numFmtId="0" fontId="77" fillId="0" borderId="0" applyNumberFormat="0" applyFill="0" applyBorder="0" applyAlignment="0" applyProtection="0"/>
    <xf numFmtId="43" fontId="78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72" fontId="14" fillId="0" borderId="0" applyFill="0" applyBorder="0" applyAlignment="0" applyProtection="0"/>
    <xf numFmtId="43" fontId="7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9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7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8" fillId="0" borderId="0" applyFont="0" applyFill="0" applyBorder="0" applyAlignment="0" applyProtection="0"/>
    <xf numFmtId="172" fontId="78" fillId="0" borderId="0" applyFill="0" applyBorder="0" applyAlignment="0" applyProtection="0"/>
    <xf numFmtId="43" fontId="1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72" fontId="78" fillId="0" borderId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72" fontId="78" fillId="0" borderId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72" fontId="78" fillId="0" borderId="0" applyFill="0" applyBorder="0" applyAlignment="0" applyProtection="0"/>
    <xf numFmtId="0" fontId="80" fillId="9" borderId="0" applyNumberFormat="0" applyBorder="0" applyAlignment="0" applyProtection="0"/>
    <xf numFmtId="0" fontId="81" fillId="0" borderId="85" applyNumberFormat="0" applyFill="0" applyAlignment="0" applyProtection="0"/>
    <xf numFmtId="0" fontId="82" fillId="0" borderId="86" applyNumberFormat="0" applyFill="0" applyAlignment="0" applyProtection="0"/>
    <xf numFmtId="0" fontId="83" fillId="0" borderId="87" applyNumberFormat="0" applyFill="0" applyAlignment="0" applyProtection="0"/>
    <xf numFmtId="0" fontId="83" fillId="0" borderId="0" applyNumberFormat="0" applyFill="0" applyBorder="0" applyAlignment="0" applyProtection="0"/>
    <xf numFmtId="0" fontId="84" fillId="12" borderId="83" applyNumberForma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78" fillId="25" borderId="88" applyNumberFormat="0" applyFont="0" applyAlignment="0" applyProtection="0"/>
    <xf numFmtId="0" fontId="85" fillId="0" borderId="89" applyNumberFormat="0" applyFill="0" applyAlignment="0" applyProtection="0"/>
    <xf numFmtId="0" fontId="86" fillId="26" borderId="0" applyNumberFormat="0" applyBorder="0" applyAlignment="0" applyProtection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" fillId="0" borderId="0"/>
    <xf numFmtId="0" fontId="78" fillId="0" borderId="0"/>
    <xf numFmtId="0" fontId="78" fillId="0" borderId="0"/>
    <xf numFmtId="0" fontId="78" fillId="0" borderId="0"/>
    <xf numFmtId="0" fontId="6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87" fillId="0" borderId="0"/>
    <xf numFmtId="0" fontId="67" fillId="0" borderId="0"/>
    <xf numFmtId="0" fontId="65" fillId="0" borderId="0"/>
    <xf numFmtId="0" fontId="72" fillId="25" borderId="88" applyNumberFormat="0" applyFont="0" applyAlignment="0" applyProtection="0"/>
    <xf numFmtId="0" fontId="88" fillId="24" borderId="90" applyNumberFormat="0" applyAlignment="0" applyProtection="0"/>
    <xf numFmtId="44" fontId="78" fillId="0" borderId="0" applyFont="0" applyFill="0" applyBorder="0" applyAlignment="0" applyProtection="0"/>
    <xf numFmtId="44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91" applyNumberFormat="0" applyFill="0" applyAlignment="0" applyProtection="0"/>
    <xf numFmtId="0" fontId="91" fillId="0" borderId="0" applyNumberFormat="0" applyFill="0" applyBorder="0" applyAlignment="0" applyProtection="0"/>
  </cellStyleXfs>
  <cellXfs count="973">
    <xf numFmtId="0" fontId="0" fillId="0" borderId="0" xfId="0"/>
    <xf numFmtId="0" fontId="0" fillId="0" borderId="0" xfId="0" applyFill="1" applyAlignment="1">
      <alignment vertical="center" wrapText="1"/>
    </xf>
    <xf numFmtId="164" fontId="19" fillId="0" borderId="1" xfId="0" applyNumberFormat="1" applyFont="1" applyFill="1" applyBorder="1" applyAlignment="1" applyProtection="1">
      <alignment vertical="center" wrapText="1"/>
      <protection locked="0"/>
    </xf>
    <xf numFmtId="164" fontId="19" fillId="0" borderId="2" xfId="0" applyNumberFormat="1" applyFont="1" applyFill="1" applyBorder="1" applyAlignment="1" applyProtection="1">
      <alignment vertical="center" wrapText="1"/>
      <protection locked="0"/>
    </xf>
    <xf numFmtId="164" fontId="0" fillId="0" borderId="0" xfId="0" applyNumberFormat="1" applyFill="1" applyAlignment="1">
      <alignment vertical="center" wrapText="1"/>
    </xf>
    <xf numFmtId="164" fontId="0" fillId="0" borderId="0" xfId="0" applyNumberFormat="1" applyFill="1" applyAlignment="1">
      <alignment horizontal="center" vertical="center" wrapText="1"/>
    </xf>
    <xf numFmtId="164" fontId="5" fillId="0" borderId="0" xfId="0" applyNumberFormat="1" applyFont="1" applyFill="1" applyAlignment="1">
      <alignment horizontal="center" vertical="center" wrapText="1"/>
    </xf>
    <xf numFmtId="164" fontId="19" fillId="0" borderId="3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/>
    <xf numFmtId="0" fontId="0" fillId="0" borderId="0" xfId="0" applyFill="1" applyAlignment="1"/>
    <xf numFmtId="164" fontId="0" fillId="0" borderId="0" xfId="0" applyNumberFormat="1" applyFill="1" applyAlignment="1" applyProtection="1">
      <alignment vertical="center" wrapText="1"/>
    </xf>
    <xf numFmtId="1" fontId="19" fillId="0" borderId="1" xfId="0" applyNumberFormat="1" applyFont="1" applyFill="1" applyBorder="1" applyAlignment="1" applyProtection="1">
      <alignment vertical="center" wrapText="1"/>
      <protection locked="0"/>
    </xf>
    <xf numFmtId="164" fontId="19" fillId="0" borderId="4" xfId="0" applyNumberFormat="1" applyFont="1" applyFill="1" applyBorder="1" applyAlignment="1" applyProtection="1">
      <alignment horizontal="left" vertical="center" wrapText="1" indent="1"/>
      <protection locked="0"/>
    </xf>
    <xf numFmtId="1" fontId="19" fillId="0" borderId="2" xfId="0" applyNumberFormat="1" applyFont="1" applyFill="1" applyBorder="1" applyAlignment="1" applyProtection="1">
      <alignment vertical="center" wrapText="1"/>
      <protection locked="0"/>
    </xf>
    <xf numFmtId="164" fontId="18" fillId="0" borderId="5" xfId="0" applyNumberFormat="1" applyFont="1" applyFill="1" applyBorder="1" applyAlignment="1" applyProtection="1">
      <alignment vertical="center" wrapText="1"/>
    </xf>
    <xf numFmtId="164" fontId="18" fillId="0" borderId="6" xfId="0" applyNumberFormat="1" applyFont="1" applyFill="1" applyBorder="1" applyAlignment="1" applyProtection="1">
      <alignment vertical="center" wrapText="1"/>
    </xf>
    <xf numFmtId="164" fontId="5" fillId="0" borderId="0" xfId="0" applyNumberFormat="1" applyFont="1" applyFill="1" applyAlignment="1">
      <alignment vertical="center" wrapText="1"/>
    </xf>
    <xf numFmtId="164" fontId="17" fillId="0" borderId="3" xfId="0" applyNumberFormat="1" applyFont="1" applyFill="1" applyBorder="1" applyAlignment="1" applyProtection="1">
      <alignment horizontal="left" vertical="center" wrapText="1" indent="1"/>
      <protection locked="0"/>
    </xf>
    <xf numFmtId="164" fontId="17" fillId="0" borderId="4" xfId="0" applyNumberFormat="1" applyFont="1" applyFill="1" applyBorder="1" applyAlignment="1" applyProtection="1">
      <alignment horizontal="left" vertical="center" wrapText="1" indent="1"/>
      <protection locked="0"/>
    </xf>
    <xf numFmtId="164" fontId="10" fillId="0" borderId="0" xfId="0" applyNumberFormat="1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164" fontId="18" fillId="2" borderId="5" xfId="0" applyNumberFormat="1" applyFont="1" applyFill="1" applyBorder="1" applyAlignment="1" applyProtection="1">
      <alignment vertical="center" wrapText="1"/>
    </xf>
    <xf numFmtId="0" fontId="0" fillId="0" borderId="0" xfId="0" applyFill="1" applyProtection="1">
      <protection locked="0"/>
    </xf>
    <xf numFmtId="164" fontId="27" fillId="0" borderId="1" xfId="0" applyNumberFormat="1" applyFont="1" applyFill="1" applyBorder="1" applyAlignment="1" applyProtection="1">
      <alignment vertical="center"/>
      <protection locked="0"/>
    </xf>
    <xf numFmtId="164" fontId="27" fillId="0" borderId="2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/>
    <xf numFmtId="164" fontId="0" fillId="0" borderId="0" xfId="0" applyNumberFormat="1" applyFill="1" applyAlignment="1" applyProtection="1">
      <alignment horizontal="center" vertical="center" wrapText="1"/>
    </xf>
    <xf numFmtId="164" fontId="8" fillId="0" borderId="7" xfId="0" applyNumberFormat="1" applyFont="1" applyFill="1" applyBorder="1" applyAlignment="1" applyProtection="1">
      <alignment horizontal="center" vertical="center" wrapText="1"/>
    </xf>
    <xf numFmtId="164" fontId="8" fillId="0" borderId="5" xfId="0" applyNumberFormat="1" applyFont="1" applyFill="1" applyBorder="1" applyAlignment="1" applyProtection="1">
      <alignment horizontal="center" vertical="center" wrapText="1"/>
    </xf>
    <xf numFmtId="164" fontId="8" fillId="0" borderId="7" xfId="0" applyNumberFormat="1" applyFont="1" applyFill="1" applyBorder="1" applyAlignment="1" applyProtection="1">
      <alignment horizontal="left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vertical="center" wrapText="1"/>
    </xf>
    <xf numFmtId="0" fontId="0" fillId="0" borderId="0" xfId="0" applyFill="1" applyAlignment="1" applyProtection="1">
      <alignment vertical="center" wrapText="1"/>
    </xf>
    <xf numFmtId="0" fontId="27" fillId="0" borderId="3" xfId="0" applyFont="1" applyFill="1" applyBorder="1" applyAlignment="1" applyProtection="1">
      <alignment horizontal="center" vertical="center"/>
    </xf>
    <xf numFmtId="164" fontId="26" fillId="0" borderId="8" xfId="0" applyNumberFormat="1" applyFont="1" applyFill="1" applyBorder="1" applyAlignment="1" applyProtection="1">
      <alignment vertical="center"/>
    </xf>
    <xf numFmtId="0" fontId="27" fillId="0" borderId="4" xfId="0" applyFont="1" applyFill="1" applyBorder="1" applyAlignment="1" applyProtection="1">
      <alignment horizontal="center" vertical="center"/>
    </xf>
    <xf numFmtId="0" fontId="27" fillId="0" borderId="2" xfId="0" applyFont="1" applyFill="1" applyBorder="1" applyAlignment="1" applyProtection="1">
      <alignment vertical="center" wrapText="1"/>
    </xf>
    <xf numFmtId="164" fontId="26" fillId="0" borderId="5" xfId="0" applyNumberFormat="1" applyFont="1" applyFill="1" applyBorder="1" applyAlignment="1" applyProtection="1">
      <alignment vertical="center"/>
    </xf>
    <xf numFmtId="164" fontId="26" fillId="0" borderId="6" xfId="0" applyNumberFormat="1" applyFont="1" applyFill="1" applyBorder="1" applyAlignment="1" applyProtection="1">
      <alignment vertical="center"/>
    </xf>
    <xf numFmtId="164" fontId="6" fillId="0" borderId="0" xfId="0" applyNumberFormat="1" applyFont="1" applyFill="1" applyAlignment="1" applyProtection="1">
      <alignment horizontal="right" vertical="center"/>
    </xf>
    <xf numFmtId="164" fontId="30" fillId="0" borderId="9" xfId="0" applyNumberFormat="1" applyFont="1" applyFill="1" applyBorder="1" applyAlignment="1" applyProtection="1">
      <alignment horizontal="right" vertical="center" wrapText="1" indent="1"/>
    </xf>
    <xf numFmtId="164" fontId="26" fillId="0" borderId="5" xfId="0" applyNumberFormat="1" applyFont="1" applyFill="1" applyBorder="1" applyAlignment="1" applyProtection="1">
      <alignment horizontal="right" vertical="center" wrapText="1" indent="1"/>
      <protection locked="0"/>
    </xf>
    <xf numFmtId="0" fontId="41" fillId="0" borderId="0" xfId="0" applyFont="1" applyFill="1" applyAlignment="1" applyProtection="1">
      <alignment horizontal="left" vertical="center" wrapText="1"/>
    </xf>
    <xf numFmtId="0" fontId="41" fillId="0" borderId="0" xfId="0" applyFont="1" applyFill="1" applyAlignment="1" applyProtection="1">
      <alignment vertical="center" wrapText="1"/>
    </xf>
    <xf numFmtId="0" fontId="41" fillId="0" borderId="0" xfId="0" applyFont="1" applyFill="1" applyAlignment="1" applyProtection="1">
      <alignment horizontal="right" vertical="center" wrapText="1" indent="1"/>
    </xf>
    <xf numFmtId="164" fontId="32" fillId="0" borderId="10" xfId="6" applyNumberFormat="1" applyFont="1" applyFill="1" applyBorder="1" applyAlignment="1" applyProtection="1">
      <alignment vertical="center"/>
    </xf>
    <xf numFmtId="164" fontId="32" fillId="0" borderId="10" xfId="6" applyNumberFormat="1" applyFont="1" applyFill="1" applyBorder="1" applyAlignment="1" applyProtection="1"/>
    <xf numFmtId="0" fontId="8" fillId="0" borderId="11" xfId="6" applyFont="1" applyFill="1" applyBorder="1" applyAlignment="1" applyProtection="1">
      <alignment horizontal="center" vertical="center" wrapText="1"/>
    </xf>
    <xf numFmtId="0" fontId="8" fillId="0" borderId="12" xfId="6" applyFont="1" applyFill="1" applyBorder="1" applyAlignment="1" applyProtection="1">
      <alignment horizontal="center" vertical="center" wrapText="1"/>
    </xf>
    <xf numFmtId="164" fontId="18" fillId="0" borderId="13" xfId="0" applyNumberFormat="1" applyFont="1" applyFill="1" applyBorder="1" applyAlignment="1" applyProtection="1">
      <alignment horizontal="center" vertical="center" wrapText="1"/>
    </xf>
    <xf numFmtId="164" fontId="19" fillId="0" borderId="14" xfId="0" applyNumberFormat="1" applyFont="1" applyFill="1" applyBorder="1" applyAlignment="1" applyProtection="1">
      <alignment vertical="center" wrapText="1"/>
      <protection locked="0"/>
    </xf>
    <xf numFmtId="164" fontId="26" fillId="0" borderId="8" xfId="0" applyNumberFormat="1" applyFont="1" applyFill="1" applyBorder="1" applyAlignment="1" applyProtection="1">
      <alignment vertical="center" wrapText="1"/>
    </xf>
    <xf numFmtId="164" fontId="19" fillId="0" borderId="15" xfId="0" applyNumberFormat="1" applyFont="1" applyFill="1" applyBorder="1" applyAlignment="1" applyProtection="1">
      <alignment vertical="center" wrapText="1"/>
      <protection locked="0"/>
    </xf>
    <xf numFmtId="164" fontId="18" fillId="0" borderId="16" xfId="0" applyNumberFormat="1" applyFont="1" applyFill="1" applyBorder="1" applyAlignment="1">
      <alignment horizontal="center" vertical="center"/>
    </xf>
    <xf numFmtId="164" fontId="18" fillId="0" borderId="16" xfId="0" applyNumberFormat="1" applyFont="1" applyFill="1" applyBorder="1" applyAlignment="1">
      <alignment horizontal="center" vertical="center" wrapText="1"/>
    </xf>
    <xf numFmtId="164" fontId="18" fillId="0" borderId="17" xfId="0" applyNumberFormat="1" applyFont="1" applyFill="1" applyBorder="1" applyAlignment="1">
      <alignment horizontal="center" vertical="center"/>
    </xf>
    <xf numFmtId="164" fontId="18" fillId="0" borderId="18" xfId="0" applyNumberFormat="1" applyFont="1" applyFill="1" applyBorder="1" applyAlignment="1">
      <alignment horizontal="center" vertical="center"/>
    </xf>
    <xf numFmtId="164" fontId="18" fillId="0" borderId="18" xfId="0" applyNumberFormat="1" applyFont="1" applyFill="1" applyBorder="1" applyAlignment="1">
      <alignment horizontal="center" vertical="center" wrapText="1"/>
    </xf>
    <xf numFmtId="49" fontId="27" fillId="0" borderId="19" xfId="0" applyNumberFormat="1" applyFont="1" applyFill="1" applyBorder="1" applyAlignment="1">
      <alignment horizontal="left" vertical="center"/>
    </xf>
    <xf numFmtId="3" fontId="27" fillId="0" borderId="20" xfId="0" applyNumberFormat="1" applyFont="1" applyFill="1" applyBorder="1" applyAlignment="1" applyProtection="1">
      <alignment horizontal="right" vertical="center"/>
      <protection locked="0"/>
    </xf>
    <xf numFmtId="164" fontId="26" fillId="0" borderId="21" xfId="0" applyNumberFormat="1" applyFont="1" applyFill="1" applyBorder="1" applyAlignment="1">
      <alignment horizontal="right" vertical="center" wrapText="1"/>
    </xf>
    <xf numFmtId="49" fontId="30" fillId="0" borderId="22" xfId="0" quotePrefix="1" applyNumberFormat="1" applyFont="1" applyFill="1" applyBorder="1" applyAlignment="1">
      <alignment horizontal="left" vertical="center" indent="1"/>
    </xf>
    <xf numFmtId="3" fontId="30" fillId="0" borderId="23" xfId="0" applyNumberFormat="1" applyFont="1" applyFill="1" applyBorder="1" applyAlignment="1" applyProtection="1">
      <alignment horizontal="right" vertical="center"/>
      <protection locked="0"/>
    </xf>
    <xf numFmtId="3" fontId="30" fillId="0" borderId="23" xfId="0" applyNumberFormat="1" applyFont="1" applyFill="1" applyBorder="1" applyAlignment="1" applyProtection="1">
      <alignment horizontal="right" vertical="center" wrapText="1"/>
      <protection locked="0"/>
    </xf>
    <xf numFmtId="164" fontId="26" fillId="0" borderId="23" xfId="0" applyNumberFormat="1" applyFont="1" applyFill="1" applyBorder="1" applyAlignment="1">
      <alignment horizontal="right" vertical="center" wrapText="1"/>
    </xf>
    <xf numFmtId="49" fontId="27" fillId="0" borderId="22" xfId="0" applyNumberFormat="1" applyFont="1" applyFill="1" applyBorder="1" applyAlignment="1">
      <alignment horizontal="left" vertical="center"/>
    </xf>
    <xf numFmtId="3" fontId="27" fillId="0" borderId="23" xfId="0" applyNumberFormat="1" applyFont="1" applyFill="1" applyBorder="1" applyAlignment="1" applyProtection="1">
      <alignment horizontal="right" vertical="center"/>
      <protection locked="0"/>
    </xf>
    <xf numFmtId="49" fontId="27" fillId="0" borderId="24" xfId="0" applyNumberFormat="1" applyFont="1" applyFill="1" applyBorder="1" applyAlignment="1" applyProtection="1">
      <alignment horizontal="left" vertical="center"/>
      <protection locked="0"/>
    </xf>
    <xf numFmtId="3" fontId="27" fillId="0" borderId="25" xfId="0" applyNumberFormat="1" applyFont="1" applyFill="1" applyBorder="1" applyAlignment="1" applyProtection="1">
      <alignment horizontal="right" vertical="center"/>
      <protection locked="0"/>
    </xf>
    <xf numFmtId="49" fontId="26" fillId="0" borderId="26" xfId="0" applyNumberFormat="1" applyFont="1" applyFill="1" applyBorder="1" applyAlignment="1" applyProtection="1">
      <alignment horizontal="left" vertical="center" indent="1"/>
      <protection locked="0"/>
    </xf>
    <xf numFmtId="164" fontId="26" fillId="0" borderId="16" xfId="0" applyNumberFormat="1" applyFont="1" applyFill="1" applyBorder="1" applyAlignment="1">
      <alignment vertical="center"/>
    </xf>
    <xf numFmtId="4" fontId="19" fillId="0" borderId="16" xfId="0" applyNumberFormat="1" applyFont="1" applyFill="1" applyBorder="1" applyAlignment="1" applyProtection="1">
      <alignment vertical="center" wrapText="1"/>
      <protection locked="0"/>
    </xf>
    <xf numFmtId="49" fontId="26" fillId="0" borderId="27" xfId="0" applyNumberFormat="1" applyFont="1" applyFill="1" applyBorder="1" applyAlignment="1" applyProtection="1">
      <alignment vertical="center"/>
      <protection locked="0"/>
    </xf>
    <xf numFmtId="49" fontId="26" fillId="0" borderId="27" xfId="0" applyNumberFormat="1" applyFont="1" applyFill="1" applyBorder="1" applyAlignment="1" applyProtection="1">
      <alignment horizontal="right" vertical="center"/>
      <protection locked="0"/>
    </xf>
    <xf numFmtId="3" fontId="19" fillId="0" borderId="27" xfId="0" applyNumberFormat="1" applyFont="1" applyFill="1" applyBorder="1" applyAlignment="1" applyProtection="1">
      <alignment horizontal="right" vertical="center" wrapText="1"/>
      <protection locked="0"/>
    </xf>
    <xf numFmtId="49" fontId="26" fillId="0" borderId="10" xfId="0" applyNumberFormat="1" applyFont="1" applyFill="1" applyBorder="1" applyAlignment="1" applyProtection="1">
      <alignment vertical="center"/>
      <protection locked="0"/>
    </xf>
    <xf numFmtId="49" fontId="26" fillId="0" borderId="10" xfId="0" applyNumberFormat="1" applyFont="1" applyFill="1" applyBorder="1" applyAlignment="1" applyProtection="1">
      <alignment horizontal="right" vertical="center"/>
      <protection locked="0"/>
    </xf>
    <xf numFmtId="3" fontId="19" fillId="0" borderId="10" xfId="0" applyNumberFormat="1" applyFont="1" applyFill="1" applyBorder="1" applyAlignment="1" applyProtection="1">
      <alignment horizontal="right" vertical="center" wrapText="1"/>
      <protection locked="0"/>
    </xf>
    <xf numFmtId="49" fontId="27" fillId="0" borderId="28" xfId="0" applyNumberFormat="1" applyFont="1" applyFill="1" applyBorder="1" applyAlignment="1">
      <alignment horizontal="left" vertical="center"/>
    </xf>
    <xf numFmtId="3" fontId="27" fillId="0" borderId="20" xfId="0" applyNumberFormat="1" applyFont="1" applyFill="1" applyBorder="1" applyAlignment="1" applyProtection="1">
      <alignment horizontal="right" vertical="center" wrapText="1"/>
      <protection locked="0"/>
    </xf>
    <xf numFmtId="164" fontId="18" fillId="0" borderId="20" xfId="0" applyNumberFormat="1" applyFont="1" applyFill="1" applyBorder="1" applyAlignment="1" applyProtection="1">
      <alignment horizontal="right" vertical="center" wrapText="1"/>
    </xf>
    <xf numFmtId="49" fontId="27" fillId="0" borderId="3" xfId="0" applyNumberFormat="1" applyFont="1" applyFill="1" applyBorder="1" applyAlignment="1">
      <alignment horizontal="left" vertical="center"/>
    </xf>
    <xf numFmtId="3" fontId="27" fillId="0" borderId="23" xfId="0" applyNumberFormat="1" applyFont="1" applyFill="1" applyBorder="1" applyAlignment="1" applyProtection="1">
      <alignment horizontal="right" vertical="center" wrapText="1"/>
      <protection locked="0"/>
    </xf>
    <xf numFmtId="164" fontId="26" fillId="0" borderId="23" xfId="0" applyNumberFormat="1" applyFont="1" applyFill="1" applyBorder="1" applyAlignment="1" applyProtection="1">
      <alignment horizontal="right" vertical="center" wrapText="1"/>
    </xf>
    <xf numFmtId="49" fontId="27" fillId="0" borderId="3" xfId="0" applyNumberFormat="1" applyFont="1" applyFill="1" applyBorder="1" applyAlignment="1" applyProtection="1">
      <alignment horizontal="left" vertical="center"/>
      <protection locked="0"/>
    </xf>
    <xf numFmtId="49" fontId="27" fillId="0" borderId="4" xfId="0" applyNumberFormat="1" applyFont="1" applyFill="1" applyBorder="1" applyAlignment="1" applyProtection="1">
      <alignment horizontal="left" vertical="center"/>
      <protection locked="0"/>
    </xf>
    <xf numFmtId="3" fontId="27" fillId="0" borderId="25" xfId="0" applyNumberFormat="1" applyFont="1" applyFill="1" applyBorder="1" applyAlignment="1" applyProtection="1">
      <alignment horizontal="right" vertical="center" wrapText="1"/>
      <protection locked="0"/>
    </xf>
    <xf numFmtId="167" fontId="18" fillId="0" borderId="16" xfId="0" applyNumberFormat="1" applyFont="1" applyFill="1" applyBorder="1" applyAlignment="1">
      <alignment horizontal="left" vertical="center" wrapText="1" indent="1"/>
    </xf>
    <xf numFmtId="167" fontId="40" fillId="0" borderId="0" xfId="0" applyNumberFormat="1" applyFont="1" applyFill="1" applyBorder="1" applyAlignment="1">
      <alignment horizontal="left" vertical="center" wrapText="1"/>
    </xf>
    <xf numFmtId="164" fontId="26" fillId="0" borderId="16" xfId="0" applyNumberFormat="1" applyFont="1" applyFill="1" applyBorder="1" applyAlignment="1">
      <alignment horizontal="center" vertical="center" wrapText="1"/>
    </xf>
    <xf numFmtId="3" fontId="27" fillId="0" borderId="21" xfId="0" applyNumberFormat="1" applyFont="1" applyFill="1" applyBorder="1" applyAlignment="1" applyProtection="1">
      <alignment horizontal="right" vertical="center" wrapText="1"/>
      <protection locked="0"/>
    </xf>
    <xf numFmtId="3" fontId="27" fillId="0" borderId="29" xfId="0" applyNumberFormat="1" applyFont="1" applyFill="1" applyBorder="1" applyAlignment="1" applyProtection="1">
      <alignment horizontal="right" vertical="center" wrapText="1"/>
      <protection locked="0"/>
    </xf>
    <xf numFmtId="3" fontId="27" fillId="0" borderId="30" xfId="0" applyNumberFormat="1" applyFont="1" applyFill="1" applyBorder="1" applyAlignment="1" applyProtection="1">
      <alignment horizontal="right" vertical="center" wrapText="1"/>
      <protection locked="0"/>
    </xf>
    <xf numFmtId="164" fontId="26" fillId="0" borderId="16" xfId="0" applyNumberFormat="1" applyFont="1" applyFill="1" applyBorder="1" applyAlignment="1">
      <alignment horizontal="right" vertical="center" wrapText="1"/>
    </xf>
    <xf numFmtId="4" fontId="18" fillId="0" borderId="21" xfId="0" applyNumberFormat="1" applyFont="1" applyFill="1" applyBorder="1" applyAlignment="1">
      <alignment horizontal="right" vertical="center" wrapText="1"/>
    </xf>
    <xf numFmtId="4" fontId="18" fillId="0" borderId="23" xfId="0" applyNumberFormat="1" applyFont="1" applyFill="1" applyBorder="1" applyAlignment="1">
      <alignment horizontal="right" vertical="center" wrapText="1"/>
    </xf>
    <xf numFmtId="4" fontId="18" fillId="0" borderId="30" xfId="0" applyNumberFormat="1" applyFont="1" applyFill="1" applyBorder="1" applyAlignment="1">
      <alignment horizontal="right" vertical="center" wrapText="1"/>
    </xf>
    <xf numFmtId="0" fontId="8" fillId="0" borderId="31" xfId="0" applyFont="1" applyFill="1" applyBorder="1" applyAlignment="1" applyProtection="1">
      <alignment horizontal="center" vertical="center" wrapText="1"/>
    </xf>
    <xf numFmtId="164" fontId="19" fillId="0" borderId="32" xfId="6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11" xfId="6" applyNumberFormat="1" applyFont="1" applyFill="1" applyBorder="1" applyAlignment="1" applyProtection="1">
      <alignment horizontal="right" vertical="center" wrapText="1" indent="1"/>
      <protection locked="0"/>
    </xf>
    <xf numFmtId="164" fontId="25" fillId="0" borderId="5" xfId="0" applyNumberFormat="1" applyFont="1" applyBorder="1" applyAlignment="1" applyProtection="1">
      <alignment horizontal="right" vertical="center" wrapText="1" indent="1"/>
    </xf>
    <xf numFmtId="164" fontId="29" fillId="0" borderId="5" xfId="0" applyNumberFormat="1" applyFont="1" applyFill="1" applyBorder="1" applyAlignment="1" applyProtection="1">
      <alignment horizontal="right" vertical="center" wrapText="1" indent="1"/>
    </xf>
    <xf numFmtId="164" fontId="29" fillId="0" borderId="6" xfId="0" applyNumberFormat="1" applyFont="1" applyFill="1" applyBorder="1" applyAlignment="1" applyProtection="1">
      <alignment horizontal="right" vertical="center" wrapText="1" indent="1"/>
    </xf>
    <xf numFmtId="164" fontId="27" fillId="0" borderId="33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34" xfId="0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4" fontId="19" fillId="0" borderId="32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9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11" xfId="0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5" xfId="0" applyNumberFormat="1" applyFont="1" applyFill="1" applyBorder="1" applyAlignment="1" applyProtection="1">
      <alignment horizontal="right" vertical="center" wrapText="1" indent="1"/>
    </xf>
    <xf numFmtId="0" fontId="18" fillId="0" borderId="34" xfId="0" applyFont="1" applyFill="1" applyBorder="1" applyAlignment="1" applyProtection="1">
      <alignment horizontal="center" vertical="center" wrapText="1"/>
    </xf>
    <xf numFmtId="3" fontId="5" fillId="0" borderId="34" xfId="0" applyNumberFormat="1" applyFont="1" applyFill="1" applyBorder="1" applyAlignment="1" applyProtection="1">
      <alignment horizontal="right" vertical="center" wrapText="1" indent="1"/>
      <protection locked="0"/>
    </xf>
    <xf numFmtId="0" fontId="18" fillId="0" borderId="35" xfId="0" applyFont="1" applyFill="1" applyBorder="1" applyAlignment="1" applyProtection="1">
      <alignment horizontal="center" vertical="center" wrapText="1"/>
    </xf>
    <xf numFmtId="3" fontId="5" fillId="0" borderId="5" xfId="0" applyNumberFormat="1" applyFont="1" applyFill="1" applyBorder="1" applyAlignment="1" applyProtection="1">
      <alignment horizontal="right" vertical="center" wrapText="1" indent="1"/>
      <protection locked="0"/>
    </xf>
    <xf numFmtId="3" fontId="5" fillId="0" borderId="35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36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37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6" xfId="0" applyNumberFormat="1" applyFont="1" applyFill="1" applyBorder="1" applyAlignment="1">
      <alignment horizontal="center" vertical="center" wrapText="1"/>
    </xf>
    <xf numFmtId="164" fontId="0" fillId="0" borderId="0" xfId="0" applyNumberFormat="1" applyFill="1" applyAlignment="1" applyProtection="1">
      <alignment horizontal="center" vertical="center" wrapText="1"/>
      <protection locked="0"/>
    </xf>
    <xf numFmtId="164" fontId="0" fillId="0" borderId="0" xfId="0" applyNumberFormat="1" applyFill="1" applyAlignment="1" applyProtection="1">
      <alignment vertical="center" wrapText="1"/>
      <protection locked="0"/>
    </xf>
    <xf numFmtId="164" fontId="6" fillId="0" borderId="0" xfId="0" applyNumberFormat="1" applyFont="1" applyFill="1" applyAlignment="1" applyProtection="1">
      <alignment horizontal="right" vertical="center"/>
      <protection locked="0"/>
    </xf>
    <xf numFmtId="164" fontId="8" fillId="0" borderId="38" xfId="0" applyNumberFormat="1" applyFont="1" applyFill="1" applyBorder="1" applyAlignment="1" applyProtection="1">
      <alignment horizontal="centerContinuous" vertical="center"/>
    </xf>
    <xf numFmtId="164" fontId="8" fillId="0" borderId="39" xfId="0" applyNumberFormat="1" applyFont="1" applyFill="1" applyBorder="1" applyAlignment="1" applyProtection="1">
      <alignment horizontal="centerContinuous" vertical="center"/>
    </xf>
    <xf numFmtId="164" fontId="8" fillId="0" borderId="40" xfId="0" applyNumberFormat="1" applyFont="1" applyFill="1" applyBorder="1" applyAlignment="1" applyProtection="1">
      <alignment horizontal="centerContinuous" vertical="center"/>
    </xf>
    <xf numFmtId="164" fontId="43" fillId="0" borderId="0" xfId="0" applyNumberFormat="1" applyFont="1" applyFill="1" applyAlignment="1">
      <alignment vertical="center"/>
    </xf>
    <xf numFmtId="164" fontId="8" fillId="0" borderId="13" xfId="0" applyNumberFormat="1" applyFont="1" applyFill="1" applyBorder="1" applyAlignment="1" applyProtection="1">
      <alignment horizontal="center" vertical="center"/>
    </xf>
    <xf numFmtId="164" fontId="8" fillId="0" borderId="41" xfId="0" applyNumberFormat="1" applyFont="1" applyFill="1" applyBorder="1" applyAlignment="1" applyProtection="1">
      <alignment horizontal="center" vertical="center"/>
    </xf>
    <xf numFmtId="164" fontId="8" fillId="0" borderId="12" xfId="0" applyNumberFormat="1" applyFont="1" applyFill="1" applyBorder="1" applyAlignment="1" applyProtection="1">
      <alignment horizontal="center" vertical="center" wrapText="1"/>
    </xf>
    <xf numFmtId="164" fontId="43" fillId="0" borderId="0" xfId="0" applyNumberFormat="1" applyFont="1" applyFill="1" applyAlignment="1">
      <alignment horizontal="center" vertical="center"/>
    </xf>
    <xf numFmtId="164" fontId="18" fillId="0" borderId="5" xfId="0" applyNumberFormat="1" applyFont="1" applyFill="1" applyBorder="1" applyAlignment="1" applyProtection="1">
      <alignment horizontal="center" vertical="center" wrapText="1"/>
    </xf>
    <xf numFmtId="164" fontId="18" fillId="0" borderId="0" xfId="0" applyNumberFormat="1" applyFont="1" applyFill="1" applyAlignment="1">
      <alignment horizontal="center" vertical="center" wrapText="1"/>
    </xf>
    <xf numFmtId="164" fontId="18" fillId="0" borderId="42" xfId="0" applyNumberFormat="1" applyFont="1" applyFill="1" applyBorder="1" applyAlignment="1" applyProtection="1">
      <alignment horizontal="right" vertical="center" wrapText="1" indent="1"/>
    </xf>
    <xf numFmtId="164" fontId="26" fillId="0" borderId="32" xfId="0" applyNumberFormat="1" applyFont="1" applyFill="1" applyBorder="1" applyAlignment="1" applyProtection="1">
      <alignment horizontal="left" vertical="center" wrapText="1" indent="1"/>
    </xf>
    <xf numFmtId="1" fontId="29" fillId="2" borderId="32" xfId="0" applyNumberFormat="1" applyFont="1" applyFill="1" applyBorder="1" applyAlignment="1" applyProtection="1">
      <alignment horizontal="center" vertical="center" wrapText="1"/>
    </xf>
    <xf numFmtId="164" fontId="26" fillId="0" borderId="32" xfId="0" applyNumberFormat="1" applyFont="1" applyFill="1" applyBorder="1" applyAlignment="1" applyProtection="1">
      <alignment vertical="center" wrapText="1"/>
    </xf>
    <xf numFmtId="164" fontId="26" fillId="0" borderId="38" xfId="0" applyNumberFormat="1" applyFont="1" applyFill="1" applyBorder="1" applyAlignment="1" applyProtection="1">
      <alignment vertical="center" wrapText="1"/>
    </xf>
    <xf numFmtId="164" fontId="26" fillId="0" borderId="21" xfId="0" applyNumberFormat="1" applyFont="1" applyFill="1" applyBorder="1" applyAlignment="1" applyProtection="1">
      <alignment vertical="center" wrapText="1"/>
    </xf>
    <xf numFmtId="164" fontId="18" fillId="0" borderId="3" xfId="0" applyNumberFormat="1" applyFont="1" applyFill="1" applyBorder="1" applyAlignment="1" applyProtection="1">
      <alignment horizontal="right" vertical="center" wrapText="1" indent="1"/>
    </xf>
    <xf numFmtId="164" fontId="1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1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 applyProtection="1">
      <alignment vertical="center" wrapText="1"/>
    </xf>
    <xf numFmtId="1" fontId="29" fillId="2" borderId="1" xfId="0" applyNumberFormat="1" applyFont="1" applyFill="1" applyBorder="1" applyAlignment="1" applyProtection="1">
      <alignment horizontal="center" vertical="center" wrapText="1"/>
    </xf>
    <xf numFmtId="164" fontId="26" fillId="0" borderId="1" xfId="0" applyNumberFormat="1" applyFont="1" applyFill="1" applyBorder="1" applyAlignment="1" applyProtection="1">
      <alignment vertical="center" wrapText="1"/>
    </xf>
    <xf numFmtId="164" fontId="26" fillId="0" borderId="14" xfId="0" applyNumberFormat="1" applyFont="1" applyFill="1" applyBorder="1" applyAlignment="1" applyProtection="1">
      <alignment vertical="center" wrapText="1"/>
    </xf>
    <xf numFmtId="164" fontId="26" fillId="0" borderId="23" xfId="0" applyNumberFormat="1" applyFont="1" applyFill="1" applyBorder="1" applyAlignment="1" applyProtection="1">
      <alignment vertical="center" wrapText="1"/>
    </xf>
    <xf numFmtId="164" fontId="18" fillId="0" borderId="1" xfId="0" applyNumberFormat="1" applyFont="1" applyFill="1" applyBorder="1" applyAlignment="1" applyProtection="1">
      <alignment horizontal="left" vertical="center" wrapText="1" indent="1"/>
    </xf>
    <xf numFmtId="164" fontId="18" fillId="0" borderId="43" xfId="0" applyNumberFormat="1" applyFont="1" applyFill="1" applyBorder="1" applyAlignment="1" applyProtection="1">
      <alignment horizontal="right" vertical="center" wrapText="1" indent="1"/>
    </xf>
    <xf numFmtId="164" fontId="26" fillId="0" borderId="9" xfId="0" applyNumberFormat="1" applyFont="1" applyFill="1" applyBorder="1" applyAlignment="1" applyProtection="1">
      <alignment horizontal="left" vertical="center" wrapText="1" indent="1"/>
    </xf>
    <xf numFmtId="1" fontId="29" fillId="2" borderId="2" xfId="0" applyNumberFormat="1" applyFont="1" applyFill="1" applyBorder="1" applyAlignment="1" applyProtection="1">
      <alignment horizontal="center" vertical="center" wrapText="1"/>
    </xf>
    <xf numFmtId="164" fontId="26" fillId="0" borderId="9" xfId="0" applyNumberFormat="1" applyFont="1" applyFill="1" applyBorder="1" applyAlignment="1" applyProtection="1">
      <alignment vertical="center" wrapText="1"/>
    </xf>
    <xf numFmtId="164" fontId="26" fillId="0" borderId="44" xfId="0" applyNumberFormat="1" applyFont="1" applyFill="1" applyBorder="1" applyAlignment="1" applyProtection="1">
      <alignment vertical="center" wrapText="1"/>
    </xf>
    <xf numFmtId="1" fontId="14" fillId="0" borderId="44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9" xfId="0" applyNumberFormat="1" applyFont="1" applyFill="1" applyBorder="1" applyAlignment="1" applyProtection="1">
      <alignment vertical="center" wrapText="1"/>
      <protection locked="0"/>
    </xf>
    <xf numFmtId="164" fontId="19" fillId="0" borderId="44" xfId="0" applyNumberFormat="1" applyFont="1" applyFill="1" applyBorder="1" applyAlignment="1" applyProtection="1">
      <alignment vertical="center" wrapText="1"/>
      <protection locked="0"/>
    </xf>
    <xf numFmtId="164" fontId="18" fillId="0" borderId="7" xfId="0" applyNumberFormat="1" applyFont="1" applyFill="1" applyBorder="1" applyAlignment="1" applyProtection="1">
      <alignment horizontal="right" vertical="center" wrapText="1" indent="1"/>
    </xf>
    <xf numFmtId="164" fontId="18" fillId="0" borderId="5" xfId="0" applyNumberFormat="1" applyFont="1" applyFill="1" applyBorder="1" applyAlignment="1" applyProtection="1">
      <alignment horizontal="left" vertical="center" wrapText="1" indent="1"/>
    </xf>
    <xf numFmtId="1" fontId="19" fillId="2" borderId="45" xfId="0" applyNumberFormat="1" applyFont="1" applyFill="1" applyBorder="1" applyAlignment="1" applyProtection="1">
      <alignment vertical="center" wrapText="1"/>
    </xf>
    <xf numFmtId="164" fontId="26" fillId="0" borderId="5" xfId="0" applyNumberFormat="1" applyFont="1" applyFill="1" applyBorder="1" applyAlignment="1" applyProtection="1">
      <alignment vertical="center" wrapText="1"/>
    </xf>
    <xf numFmtId="164" fontId="26" fillId="0" borderId="45" xfId="0" applyNumberFormat="1" applyFont="1" applyFill="1" applyBorder="1" applyAlignment="1" applyProtection="1">
      <alignment vertical="center" wrapText="1"/>
    </xf>
    <xf numFmtId="164" fontId="26" fillId="0" borderId="16" xfId="0" applyNumberFormat="1" applyFont="1" applyFill="1" applyBorder="1" applyAlignment="1" applyProtection="1">
      <alignment vertical="center" wrapText="1"/>
    </xf>
    <xf numFmtId="164" fontId="10" fillId="0" borderId="0" xfId="0" applyNumberFormat="1" applyFont="1" applyFill="1" applyAlignment="1">
      <alignment horizontal="center" vertical="center" wrapText="1"/>
    </xf>
    <xf numFmtId="164" fontId="6" fillId="0" borderId="0" xfId="0" applyNumberFormat="1" applyFont="1" applyFill="1" applyAlignment="1">
      <alignment horizontal="right" vertical="center"/>
    </xf>
    <xf numFmtId="164" fontId="8" fillId="0" borderId="41" xfId="0" applyNumberFormat="1" applyFont="1" applyFill="1" applyBorder="1" applyAlignment="1">
      <alignment horizontal="center" vertical="center"/>
    </xf>
    <xf numFmtId="164" fontId="8" fillId="0" borderId="11" xfId="0" applyNumberFormat="1" applyFont="1" applyFill="1" applyBorder="1" applyAlignment="1">
      <alignment horizontal="center" vertical="center"/>
    </xf>
    <xf numFmtId="164" fontId="8" fillId="0" borderId="26" xfId="0" applyNumberFormat="1" applyFont="1" applyFill="1" applyBorder="1" applyAlignment="1">
      <alignment horizontal="center" vertical="center" wrapText="1"/>
    </xf>
    <xf numFmtId="164" fontId="8" fillId="0" borderId="45" xfId="0" applyNumberFormat="1" applyFont="1" applyFill="1" applyBorder="1" applyAlignment="1">
      <alignment horizontal="center" vertical="center" wrapText="1"/>
    </xf>
    <xf numFmtId="164" fontId="8" fillId="0" borderId="6" xfId="0" applyNumberFormat="1" applyFont="1" applyFill="1" applyBorder="1" applyAlignment="1">
      <alignment horizontal="center" vertical="center" wrapText="1"/>
    </xf>
    <xf numFmtId="164" fontId="43" fillId="0" borderId="0" xfId="0" applyNumberFormat="1" applyFont="1" applyFill="1" applyAlignment="1">
      <alignment horizontal="center" vertical="center" wrapText="1"/>
    </xf>
    <xf numFmtId="164" fontId="18" fillId="0" borderId="7" xfId="0" applyNumberFormat="1" applyFont="1" applyFill="1" applyBorder="1" applyAlignment="1">
      <alignment horizontal="right" vertical="center" wrapText="1" indent="1"/>
    </xf>
    <xf numFmtId="164" fontId="18" fillId="0" borderId="16" xfId="0" applyNumberFormat="1" applyFont="1" applyFill="1" applyBorder="1" applyAlignment="1">
      <alignment horizontal="left" vertical="center" wrapText="1" indent="1"/>
    </xf>
    <xf numFmtId="164" fontId="14" fillId="2" borderId="16" xfId="0" applyNumberFormat="1" applyFont="1" applyFill="1" applyBorder="1" applyAlignment="1">
      <alignment horizontal="left" vertical="center" wrapText="1" indent="2"/>
    </xf>
    <xf numFmtId="164" fontId="14" fillId="2" borderId="35" xfId="0" applyNumberFormat="1" applyFont="1" applyFill="1" applyBorder="1" applyAlignment="1">
      <alignment horizontal="left" vertical="center" wrapText="1" indent="2"/>
    </xf>
    <xf numFmtId="164" fontId="18" fillId="0" borderId="7" xfId="0" applyNumberFormat="1" applyFont="1" applyFill="1" applyBorder="1" applyAlignment="1">
      <alignment vertical="center" wrapText="1"/>
    </xf>
    <xf numFmtId="164" fontId="18" fillId="0" borderId="5" xfId="0" applyNumberFormat="1" applyFont="1" applyFill="1" applyBorder="1" applyAlignment="1">
      <alignment vertical="center" wrapText="1"/>
    </xf>
    <xf numFmtId="164" fontId="18" fillId="0" borderId="6" xfId="0" applyNumberFormat="1" applyFont="1" applyFill="1" applyBorder="1" applyAlignment="1">
      <alignment vertical="center" wrapText="1"/>
    </xf>
    <xf numFmtId="164" fontId="18" fillId="0" borderId="3" xfId="0" applyNumberFormat="1" applyFont="1" applyFill="1" applyBorder="1" applyAlignment="1">
      <alignment horizontal="right" vertical="center" wrapText="1" indent="1"/>
    </xf>
    <xf numFmtId="164" fontId="19" fillId="0" borderId="23" xfId="0" applyNumberFormat="1" applyFont="1" applyFill="1" applyBorder="1" applyAlignment="1" applyProtection="1">
      <alignment horizontal="left" vertical="center" wrapText="1" indent="1"/>
      <protection locked="0"/>
    </xf>
    <xf numFmtId="165" fontId="14" fillId="0" borderId="23" xfId="0" applyNumberFormat="1" applyFont="1" applyFill="1" applyBorder="1" applyAlignment="1" applyProtection="1">
      <alignment horizontal="right" vertical="center" wrapText="1" indent="2"/>
      <protection locked="0"/>
    </xf>
    <xf numFmtId="165" fontId="14" fillId="0" borderId="1" xfId="0" applyNumberFormat="1" applyFont="1" applyFill="1" applyBorder="1" applyAlignment="1" applyProtection="1">
      <alignment horizontal="right" vertical="center" wrapText="1" indent="2"/>
      <protection locked="0"/>
    </xf>
    <xf numFmtId="164" fontId="19" fillId="0" borderId="3" xfId="0" applyNumberFormat="1" applyFont="1" applyFill="1" applyBorder="1" applyAlignment="1" applyProtection="1">
      <alignment vertical="center" wrapText="1"/>
      <protection locked="0"/>
    </xf>
    <xf numFmtId="164" fontId="19" fillId="0" borderId="8" xfId="0" applyNumberFormat="1" applyFont="1" applyFill="1" applyBorder="1" applyAlignment="1" applyProtection="1">
      <alignment vertical="center" wrapText="1"/>
      <protection locked="0"/>
    </xf>
    <xf numFmtId="164" fontId="14" fillId="2" borderId="16" xfId="0" applyNumberFormat="1" applyFont="1" applyFill="1" applyBorder="1" applyAlignment="1">
      <alignment horizontal="right" vertical="center" wrapText="1" indent="2"/>
    </xf>
    <xf numFmtId="164" fontId="14" fillId="2" borderId="35" xfId="0" applyNumberFormat="1" applyFont="1" applyFill="1" applyBorder="1" applyAlignment="1">
      <alignment horizontal="right" vertical="center" wrapText="1" indent="2"/>
    </xf>
    <xf numFmtId="0" fontId="8" fillId="0" borderId="5" xfId="0" applyFont="1" applyFill="1" applyBorder="1" applyAlignment="1">
      <alignment horizontal="center" vertical="center" wrapText="1"/>
    </xf>
    <xf numFmtId="0" fontId="8" fillId="0" borderId="4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 applyProtection="1">
      <alignment vertical="center" wrapText="1"/>
      <protection locked="0"/>
    </xf>
    <xf numFmtId="164" fontId="27" fillId="0" borderId="14" xfId="0" applyNumberFormat="1" applyFont="1" applyFill="1" applyBorder="1" applyAlignment="1" applyProtection="1">
      <alignment vertical="center"/>
      <protection locked="0"/>
    </xf>
    <xf numFmtId="164" fontId="26" fillId="0" borderId="14" xfId="0" applyNumberFormat="1" applyFont="1" applyFill="1" applyBorder="1" applyAlignment="1" applyProtection="1">
      <alignment vertical="center"/>
    </xf>
    <xf numFmtId="164" fontId="27" fillId="0" borderId="15" xfId="0" applyNumberFormat="1" applyFont="1" applyFill="1" applyBorder="1" applyAlignment="1" applyProtection="1">
      <alignment vertical="center"/>
      <protection locked="0"/>
    </xf>
    <xf numFmtId="0" fontId="27" fillId="0" borderId="46" xfId="0" applyFont="1" applyFill="1" applyBorder="1" applyAlignment="1" applyProtection="1">
      <alignment horizontal="center" vertical="center"/>
    </xf>
    <xf numFmtId="0" fontId="27" fillId="0" borderId="11" xfId="0" applyFont="1" applyFill="1" applyBorder="1" applyAlignment="1" applyProtection="1">
      <alignment vertical="center" wrapText="1"/>
    </xf>
    <xf numFmtId="0" fontId="27" fillId="0" borderId="11" xfId="0" applyFont="1" applyFill="1" applyBorder="1" applyAlignment="1" applyProtection="1">
      <alignment vertical="center" wrapText="1"/>
      <protection locked="0"/>
    </xf>
    <xf numFmtId="164" fontId="27" fillId="0" borderId="11" xfId="0" applyNumberFormat="1" applyFont="1" applyFill="1" applyBorder="1" applyAlignment="1" applyProtection="1">
      <alignment vertical="center"/>
      <protection locked="0"/>
    </xf>
    <xf numFmtId="164" fontId="27" fillId="0" borderId="41" xfId="0" applyNumberFormat="1" applyFont="1" applyFill="1" applyBorder="1" applyAlignment="1" applyProtection="1">
      <alignment vertical="center"/>
      <protection locked="0"/>
    </xf>
    <xf numFmtId="164" fontId="26" fillId="0" borderId="45" xfId="0" applyNumberFormat="1" applyFont="1" applyFill="1" applyBorder="1" applyAlignment="1" applyProtection="1">
      <alignment vertical="center"/>
    </xf>
    <xf numFmtId="164" fontId="26" fillId="0" borderId="12" xfId="0" applyNumberFormat="1" applyFont="1" applyFill="1" applyBorder="1" applyAlignment="1" applyProtection="1">
      <alignment vertical="center"/>
    </xf>
    <xf numFmtId="164" fontId="28" fillId="0" borderId="5" xfId="0" applyNumberFormat="1" applyFont="1" applyFill="1" applyBorder="1" applyAlignment="1" applyProtection="1">
      <alignment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45" fillId="0" borderId="7" xfId="0" applyFont="1" applyFill="1" applyBorder="1" applyAlignment="1">
      <alignment horizontal="center" vertical="center" wrapText="1"/>
    </xf>
    <xf numFmtId="0" fontId="45" fillId="0" borderId="5" xfId="0" applyFont="1" applyFill="1" applyBorder="1" applyAlignment="1">
      <alignment horizontal="center" vertical="center" wrapText="1"/>
    </xf>
    <xf numFmtId="0" fontId="45" fillId="0" borderId="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4" fillId="0" borderId="0" xfId="0" applyFont="1" applyFill="1" applyAlignment="1">
      <alignment horizontal="right"/>
    </xf>
    <xf numFmtId="0" fontId="28" fillId="0" borderId="50" xfId="0" applyFont="1" applyFill="1" applyBorder="1" applyAlignment="1">
      <alignment horizontal="center" vertical="center" wrapText="1"/>
    </xf>
    <xf numFmtId="0" fontId="28" fillId="0" borderId="51" xfId="0" applyFont="1" applyFill="1" applyBorder="1" applyAlignment="1">
      <alignment horizontal="center" vertical="center"/>
    </xf>
    <xf numFmtId="0" fontId="28" fillId="0" borderId="31" xfId="0" applyFont="1" applyFill="1" applyBorder="1" applyAlignment="1">
      <alignment horizontal="center" vertical="center" wrapText="1"/>
    </xf>
    <xf numFmtId="0" fontId="28" fillId="0" borderId="52" xfId="0" applyFont="1" applyFill="1" applyBorder="1" applyAlignment="1">
      <alignment horizontal="center" vertical="center" wrapText="1"/>
    </xf>
    <xf numFmtId="0" fontId="27" fillId="0" borderId="42" xfId="0" applyFont="1" applyFill="1" applyBorder="1" applyAlignment="1">
      <alignment horizontal="right" vertical="center" indent="1"/>
    </xf>
    <xf numFmtId="0" fontId="27" fillId="0" borderId="3" xfId="0" applyFont="1" applyFill="1" applyBorder="1" applyAlignment="1">
      <alignment horizontal="right" vertical="center" indent="1"/>
    </xf>
    <xf numFmtId="0" fontId="27" fillId="0" borderId="1" xfId="0" applyFont="1" applyFill="1" applyBorder="1" applyAlignment="1" applyProtection="1">
      <alignment horizontal="left" vertical="center" indent="1"/>
      <protection locked="0"/>
    </xf>
    <xf numFmtId="3" fontId="27" fillId="0" borderId="14" xfId="0" applyNumberFormat="1" applyFont="1" applyFill="1" applyBorder="1" applyAlignment="1" applyProtection="1">
      <alignment horizontal="right" vertical="center"/>
      <protection locked="0"/>
    </xf>
    <xf numFmtId="3" fontId="27" fillId="0" borderId="8" xfId="0" applyNumberFormat="1" applyFont="1" applyFill="1" applyBorder="1" applyAlignment="1" applyProtection="1">
      <alignment horizontal="right" vertical="center"/>
      <protection locked="0"/>
    </xf>
    <xf numFmtId="0" fontId="27" fillId="0" borderId="4" xfId="0" applyFont="1" applyFill="1" applyBorder="1" applyAlignment="1">
      <alignment horizontal="right" vertical="center" indent="1"/>
    </xf>
    <xf numFmtId="0" fontId="27" fillId="0" borderId="2" xfId="0" applyFont="1" applyFill="1" applyBorder="1" applyAlignment="1" applyProtection="1">
      <alignment horizontal="left" vertical="center" indent="1"/>
      <protection locked="0"/>
    </xf>
    <xf numFmtId="3" fontId="27" fillId="0" borderId="15" xfId="0" applyNumberFormat="1" applyFont="1" applyFill="1" applyBorder="1" applyAlignment="1" applyProtection="1">
      <alignment horizontal="right" vertical="center"/>
      <protection locked="0"/>
    </xf>
    <xf numFmtId="3" fontId="27" fillId="0" borderId="54" xfId="0" applyNumberFormat="1" applyFon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>
      <alignment vertical="center"/>
    </xf>
    <xf numFmtId="164" fontId="26" fillId="0" borderId="5" xfId="0" applyNumberFormat="1" applyFont="1" applyFill="1" applyBorder="1" applyAlignment="1">
      <alignment vertical="center" wrapText="1"/>
    </xf>
    <xf numFmtId="164" fontId="26" fillId="0" borderId="6" xfId="0" applyNumberFormat="1" applyFont="1" applyFill="1" applyBorder="1" applyAlignment="1">
      <alignment vertical="center" wrapText="1"/>
    </xf>
    <xf numFmtId="0" fontId="42" fillId="0" borderId="0" xfId="8" applyFill="1"/>
    <xf numFmtId="168" fontId="24" fillId="0" borderId="1" xfId="8" applyNumberFormat="1" applyFont="1" applyFill="1" applyBorder="1" applyAlignment="1" applyProtection="1">
      <alignment horizontal="right" vertical="center" wrapText="1"/>
      <protection locked="0"/>
    </xf>
    <xf numFmtId="168" fontId="51" fillId="0" borderId="1" xfId="8" applyNumberFormat="1" applyFont="1" applyFill="1" applyBorder="1" applyAlignment="1" applyProtection="1">
      <alignment horizontal="right" vertical="center" wrapText="1"/>
      <protection locked="0"/>
    </xf>
    <xf numFmtId="0" fontId="24" fillId="0" borderId="0" xfId="8" applyFont="1" applyFill="1"/>
    <xf numFmtId="0" fontId="42" fillId="0" borderId="0" xfId="8" applyFont="1" applyFill="1"/>
    <xf numFmtId="3" fontId="42" fillId="0" borderId="0" xfId="8" applyNumberFormat="1" applyFont="1" applyFill="1" applyAlignment="1">
      <alignment horizontal="center"/>
    </xf>
    <xf numFmtId="0" fontId="15" fillId="0" borderId="0" xfId="7" applyFill="1" applyAlignment="1" applyProtection="1">
      <alignment vertical="center" wrapText="1"/>
    </xf>
    <xf numFmtId="0" fontId="15" fillId="0" borderId="0" xfId="7" applyFill="1" applyAlignment="1" applyProtection="1">
      <alignment horizontal="center" vertical="center"/>
    </xf>
    <xf numFmtId="49" fontId="18" fillId="0" borderId="46" xfId="7" applyNumberFormat="1" applyFont="1" applyFill="1" applyBorder="1" applyAlignment="1" applyProtection="1">
      <alignment horizontal="center" vertical="center" wrapText="1"/>
    </xf>
    <xf numFmtId="49" fontId="18" fillId="0" borderId="11" xfId="7" applyNumberFormat="1" applyFont="1" applyFill="1" applyBorder="1" applyAlignment="1" applyProtection="1">
      <alignment horizontal="center" vertical="center"/>
    </xf>
    <xf numFmtId="49" fontId="14" fillId="0" borderId="0" xfId="7" applyNumberFormat="1" applyFont="1" applyFill="1" applyAlignment="1" applyProtection="1">
      <alignment horizontal="center" vertical="center"/>
    </xf>
    <xf numFmtId="169" fontId="19" fillId="0" borderId="1" xfId="7" applyNumberFormat="1" applyFont="1" applyFill="1" applyBorder="1" applyAlignment="1" applyProtection="1">
      <alignment horizontal="center" vertical="center"/>
    </xf>
    <xf numFmtId="0" fontId="18" fillId="0" borderId="46" xfId="7" applyFont="1" applyFill="1" applyBorder="1" applyAlignment="1" applyProtection="1">
      <alignment horizontal="left" vertical="center" wrapText="1"/>
    </xf>
    <xf numFmtId="169" fontId="19" fillId="0" borderId="11" xfId="7" applyNumberFormat="1" applyFont="1" applyFill="1" applyBorder="1" applyAlignment="1" applyProtection="1">
      <alignment horizontal="center" vertical="center"/>
    </xf>
    <xf numFmtId="0" fontId="42" fillId="0" borderId="0" xfId="8" applyFont="1" applyFill="1" applyAlignment="1"/>
    <xf numFmtId="0" fontId="17" fillId="0" borderId="0" xfId="7" applyFont="1" applyFill="1" applyAlignment="1" applyProtection="1">
      <alignment horizontal="center" vertical="center"/>
    </xf>
    <xf numFmtId="0" fontId="23" fillId="0" borderId="7" xfId="8" applyFont="1" applyFill="1" applyBorder="1" applyAlignment="1">
      <alignment horizontal="center" vertical="center"/>
    </xf>
    <xf numFmtId="0" fontId="23" fillId="0" borderId="5" xfId="8" applyFont="1" applyFill="1" applyBorder="1" applyAlignment="1">
      <alignment horizontal="center" vertical="center" wrapText="1"/>
    </xf>
    <xf numFmtId="0" fontId="23" fillId="0" borderId="6" xfId="8" applyFont="1" applyFill="1" applyBorder="1" applyAlignment="1">
      <alignment horizontal="center" vertical="center" wrapText="1"/>
    </xf>
    <xf numFmtId="0" fontId="24" fillId="0" borderId="28" xfId="8" applyFont="1" applyFill="1" applyBorder="1" applyAlignment="1" applyProtection="1">
      <alignment horizontal="left" indent="1"/>
      <protection locked="0"/>
    </xf>
    <xf numFmtId="0" fontId="24" fillId="0" borderId="33" xfId="8" applyFont="1" applyFill="1" applyBorder="1" applyAlignment="1">
      <alignment horizontal="right" indent="1"/>
    </xf>
    <xf numFmtId="3" fontId="24" fillId="0" borderId="33" xfId="8" applyNumberFormat="1" applyFont="1" applyFill="1" applyBorder="1" applyProtection="1">
      <protection locked="0"/>
    </xf>
    <xf numFmtId="3" fontId="24" fillId="0" borderId="48" xfId="8" applyNumberFormat="1" applyFont="1" applyFill="1" applyBorder="1" applyProtection="1">
      <protection locked="0"/>
    </xf>
    <xf numFmtId="0" fontId="24" fillId="0" borderId="3" xfId="8" applyFont="1" applyFill="1" applyBorder="1" applyAlignment="1" applyProtection="1">
      <alignment horizontal="left" indent="1"/>
      <protection locked="0"/>
    </xf>
    <xf numFmtId="0" fontId="24" fillId="0" borderId="1" xfId="8" applyFont="1" applyFill="1" applyBorder="1" applyAlignment="1">
      <alignment horizontal="right" indent="1"/>
    </xf>
    <xf numFmtId="3" fontId="24" fillId="0" borderId="1" xfId="8" applyNumberFormat="1" applyFont="1" applyFill="1" applyBorder="1" applyProtection="1">
      <protection locked="0"/>
    </xf>
    <xf numFmtId="3" fontId="24" fillId="0" borderId="8" xfId="8" applyNumberFormat="1" applyFont="1" applyFill="1" applyBorder="1" applyProtection="1">
      <protection locked="0"/>
    </xf>
    <xf numFmtId="0" fontId="24" fillId="0" borderId="3" xfId="8" applyFont="1" applyFill="1" applyBorder="1" applyProtection="1">
      <protection locked="0"/>
    </xf>
    <xf numFmtId="0" fontId="24" fillId="0" borderId="4" xfId="8" applyFont="1" applyFill="1" applyBorder="1" applyProtection="1">
      <protection locked="0"/>
    </xf>
    <xf numFmtId="0" fontId="24" fillId="0" borderId="2" xfId="8" applyFont="1" applyFill="1" applyBorder="1" applyAlignment="1">
      <alignment horizontal="right" indent="1"/>
    </xf>
    <xf numFmtId="3" fontId="24" fillId="0" borderId="2" xfId="8" applyNumberFormat="1" applyFont="1" applyFill="1" applyBorder="1" applyProtection="1">
      <protection locked="0"/>
    </xf>
    <xf numFmtId="3" fontId="24" fillId="0" borderId="54" xfId="8" applyNumberFormat="1" applyFont="1" applyFill="1" applyBorder="1" applyProtection="1">
      <protection locked="0"/>
    </xf>
    <xf numFmtId="3" fontId="24" fillId="0" borderId="55" xfId="8" applyNumberFormat="1" applyFont="1" applyFill="1" applyBorder="1"/>
    <xf numFmtId="0" fontId="52" fillId="0" borderId="0" xfId="8" applyFont="1" applyFill="1"/>
    <xf numFmtId="0" fontId="53" fillId="0" borderId="7" xfId="8" applyFont="1" applyFill="1" applyBorder="1" applyAlignment="1">
      <alignment horizontal="center" vertical="center"/>
    </xf>
    <xf numFmtId="0" fontId="53" fillId="0" borderId="5" xfId="8" applyFont="1" applyFill="1" applyBorder="1" applyAlignment="1">
      <alignment horizontal="center" vertical="center" wrapText="1"/>
    </xf>
    <xf numFmtId="0" fontId="53" fillId="0" borderId="6" xfId="8" applyFont="1" applyFill="1" applyBorder="1" applyAlignment="1">
      <alignment horizontal="center" vertical="center" wrapText="1"/>
    </xf>
    <xf numFmtId="0" fontId="24" fillId="0" borderId="46" xfId="8" applyFont="1" applyFill="1" applyBorder="1" applyAlignment="1" applyProtection="1">
      <alignment horizontal="left" indent="1"/>
      <protection locked="0"/>
    </xf>
    <xf numFmtId="0" fontId="24" fillId="0" borderId="11" xfId="8" applyFont="1" applyFill="1" applyBorder="1" applyAlignment="1">
      <alignment horizontal="right" indent="1"/>
    </xf>
    <xf numFmtId="3" fontId="24" fillId="0" borderId="11" xfId="8" applyNumberFormat="1" applyFont="1" applyFill="1" applyBorder="1" applyProtection="1">
      <protection locked="0"/>
    </xf>
    <xf numFmtId="3" fontId="24" fillId="0" borderId="12" xfId="8" applyNumberFormat="1" applyFont="1" applyFill="1" applyBorder="1" applyProtection="1">
      <protection locked="0"/>
    </xf>
    <xf numFmtId="0" fontId="52" fillId="0" borderId="0" xfId="0" applyFont="1" applyFill="1"/>
    <xf numFmtId="0" fontId="54" fillId="0" borderId="0" xfId="0" applyFont="1" applyFill="1" applyAlignment="1">
      <alignment horizontal="right"/>
    </xf>
    <xf numFmtId="0" fontId="43" fillId="0" borderId="0" xfId="0" applyFont="1" applyFill="1" applyAlignment="1">
      <alignment horizontal="center"/>
    </xf>
    <xf numFmtId="0" fontId="20" fillId="0" borderId="0" xfId="0" applyFont="1" applyFill="1" applyAlignment="1">
      <alignment horizontal="right"/>
    </xf>
    <xf numFmtId="0" fontId="5" fillId="0" borderId="7" xfId="0" applyFont="1" applyFill="1" applyBorder="1" applyAlignment="1">
      <alignment horizontal="center" vertical="center" wrapText="1"/>
    </xf>
    <xf numFmtId="0" fontId="43" fillId="0" borderId="5" xfId="0" applyFont="1" applyFill="1" applyBorder="1" applyAlignment="1">
      <alignment horizontal="center" vertical="center"/>
    </xf>
    <xf numFmtId="0" fontId="43" fillId="0" borderId="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28" xfId="0" applyFill="1" applyBorder="1" applyAlignment="1">
      <alignment horizontal="center" vertical="center"/>
    </xf>
    <xf numFmtId="0" fontId="0" fillId="0" borderId="33" xfId="0" applyFill="1" applyBorder="1" applyAlignment="1" applyProtection="1">
      <alignment horizontal="left" vertical="center" wrapText="1" indent="1"/>
      <protection locked="0"/>
    </xf>
    <xf numFmtId="171" fontId="28" fillId="0" borderId="48" xfId="0" applyNumberFormat="1" applyFont="1" applyFill="1" applyBorder="1" applyAlignment="1" applyProtection="1">
      <alignment horizontal="right" vertical="center"/>
    </xf>
    <xf numFmtId="0" fontId="0" fillId="0" borderId="3" xfId="0" applyFill="1" applyBorder="1" applyAlignment="1">
      <alignment horizontal="center" vertical="center"/>
    </xf>
    <xf numFmtId="0" fontId="55" fillId="0" borderId="1" xfId="0" applyFont="1" applyFill="1" applyBorder="1" applyAlignment="1">
      <alignment horizontal="left" vertical="center" indent="5"/>
    </xf>
    <xf numFmtId="171" fontId="34" fillId="0" borderId="8" xfId="0" applyNumberFormat="1" applyFont="1" applyFill="1" applyBorder="1" applyAlignment="1" applyProtection="1">
      <alignment horizontal="right" vertical="center"/>
      <protection locked="0"/>
    </xf>
    <xf numFmtId="0" fontId="15" fillId="0" borderId="1" xfId="0" applyFont="1" applyFill="1" applyBorder="1" applyAlignment="1">
      <alignment horizontal="left" vertical="center" indent="1"/>
    </xf>
    <xf numFmtId="0" fontId="0" fillId="0" borderId="4" xfId="0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 indent="1"/>
    </xf>
    <xf numFmtId="171" fontId="34" fillId="0" borderId="54" xfId="0" applyNumberFormat="1" applyFont="1" applyFill="1" applyBorder="1" applyAlignment="1" applyProtection="1">
      <alignment horizontal="right" vertical="center"/>
      <protection locked="0"/>
    </xf>
    <xf numFmtId="0" fontId="0" fillId="0" borderId="42" xfId="0" applyFill="1" applyBorder="1" applyAlignment="1">
      <alignment horizontal="center" vertical="center"/>
    </xf>
    <xf numFmtId="0" fontId="0" fillId="0" borderId="32" xfId="0" applyFill="1" applyBorder="1" applyAlignment="1" applyProtection="1">
      <alignment horizontal="left" vertical="center" wrapText="1" indent="1"/>
      <protection locked="0"/>
    </xf>
    <xf numFmtId="171" fontId="28" fillId="0" borderId="53" xfId="0" applyNumberFormat="1" applyFont="1" applyFill="1" applyBorder="1" applyAlignment="1" applyProtection="1">
      <alignment horizontal="right" vertical="center"/>
    </xf>
    <xf numFmtId="0" fontId="0" fillId="0" borderId="46" xfId="0" applyFill="1" applyBorder="1" applyAlignment="1">
      <alignment horizontal="center" vertical="center"/>
    </xf>
    <xf numFmtId="0" fontId="55" fillId="0" borderId="11" xfId="0" applyFont="1" applyFill="1" applyBorder="1" applyAlignment="1">
      <alignment horizontal="left" vertical="center" indent="5"/>
    </xf>
    <xf numFmtId="171" fontId="34" fillId="0" borderId="12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/>
    <xf numFmtId="0" fontId="57" fillId="0" borderId="0" xfId="0" applyFont="1" applyAlignment="1" applyProtection="1">
      <alignment horizontal="right"/>
    </xf>
    <xf numFmtId="0" fontId="58" fillId="0" borderId="0" xfId="0" applyFont="1" applyAlignment="1" applyProtection="1">
      <alignment horizontal="center"/>
    </xf>
    <xf numFmtId="0" fontId="59" fillId="0" borderId="7" xfId="0" applyFont="1" applyBorder="1" applyAlignment="1" applyProtection="1">
      <alignment horizontal="center" vertical="center" wrapText="1"/>
    </xf>
    <xf numFmtId="0" fontId="58" fillId="0" borderId="5" xfId="0" applyFont="1" applyBorder="1" applyAlignment="1" applyProtection="1">
      <alignment horizontal="center" vertical="center" wrapText="1"/>
    </xf>
    <xf numFmtId="0" fontId="58" fillId="0" borderId="6" xfId="0" applyFont="1" applyBorder="1" applyAlignment="1" applyProtection="1">
      <alignment horizontal="center" vertical="center" wrapText="1"/>
    </xf>
    <xf numFmtId="0" fontId="58" fillId="0" borderId="28" xfId="0" applyFont="1" applyBorder="1" applyAlignment="1" applyProtection="1">
      <alignment horizontal="center" vertical="top" wrapText="1"/>
    </xf>
    <xf numFmtId="0" fontId="58" fillId="0" borderId="3" xfId="0" applyFont="1" applyBorder="1" applyAlignment="1" applyProtection="1">
      <alignment horizontal="center" vertical="top" wrapText="1"/>
    </xf>
    <xf numFmtId="0" fontId="58" fillId="0" borderId="4" xfId="0" applyFont="1" applyBorder="1" applyAlignment="1" applyProtection="1">
      <alignment horizontal="center" vertical="top" wrapText="1"/>
    </xf>
    <xf numFmtId="0" fontId="58" fillId="3" borderId="5" xfId="0" applyFont="1" applyFill="1" applyBorder="1" applyAlignment="1" applyProtection="1">
      <alignment horizontal="center" vertical="top" wrapText="1"/>
    </xf>
    <xf numFmtId="0" fontId="60" fillId="0" borderId="33" xfId="0" applyFont="1" applyBorder="1" applyAlignment="1" applyProtection="1">
      <alignment horizontal="left" vertical="top" wrapText="1"/>
      <protection locked="0"/>
    </xf>
    <xf numFmtId="0" fontId="60" fillId="0" borderId="1" xfId="0" applyFont="1" applyBorder="1" applyAlignment="1" applyProtection="1">
      <alignment horizontal="left" vertical="top" wrapText="1"/>
      <protection locked="0"/>
    </xf>
    <xf numFmtId="0" fontId="60" fillId="0" borderId="2" xfId="0" applyFont="1" applyBorder="1" applyAlignment="1" applyProtection="1">
      <alignment horizontal="left" vertical="top" wrapText="1"/>
      <protection locked="0"/>
    </xf>
    <xf numFmtId="9" fontId="60" fillId="0" borderId="33" xfId="9" applyFont="1" applyBorder="1" applyAlignment="1" applyProtection="1">
      <alignment horizontal="center" vertical="center" wrapText="1"/>
      <protection locked="0"/>
    </xf>
    <xf numFmtId="9" fontId="60" fillId="0" borderId="1" xfId="9" applyFont="1" applyBorder="1" applyAlignment="1" applyProtection="1">
      <alignment horizontal="center" vertical="center" wrapText="1"/>
      <protection locked="0"/>
    </xf>
    <xf numFmtId="9" fontId="60" fillId="0" borderId="2" xfId="9" applyFont="1" applyBorder="1" applyAlignment="1" applyProtection="1">
      <alignment horizontal="center" vertical="center" wrapText="1"/>
      <protection locked="0"/>
    </xf>
    <xf numFmtId="166" fontId="60" fillId="0" borderId="33" xfId="1" applyNumberFormat="1" applyFont="1" applyBorder="1" applyAlignment="1" applyProtection="1">
      <alignment horizontal="center" vertical="center" wrapText="1"/>
      <protection locked="0"/>
    </xf>
    <xf numFmtId="166" fontId="60" fillId="0" borderId="1" xfId="1" applyNumberFormat="1" applyFont="1" applyBorder="1" applyAlignment="1" applyProtection="1">
      <alignment horizontal="center" vertical="center" wrapText="1"/>
      <protection locked="0"/>
    </xf>
    <xf numFmtId="166" fontId="60" fillId="0" borderId="2" xfId="1" applyNumberFormat="1" applyFont="1" applyBorder="1" applyAlignment="1" applyProtection="1">
      <alignment horizontal="center" vertical="center" wrapText="1"/>
      <protection locked="0"/>
    </xf>
    <xf numFmtId="166" fontId="60" fillId="0" borderId="5" xfId="1" applyNumberFormat="1" applyFont="1" applyBorder="1" applyAlignment="1" applyProtection="1">
      <alignment horizontal="center" vertical="center" wrapText="1"/>
    </xf>
    <xf numFmtId="166" fontId="60" fillId="0" borderId="48" xfId="1" applyNumberFormat="1" applyFont="1" applyBorder="1" applyAlignment="1" applyProtection="1">
      <alignment horizontal="center" vertical="top" wrapText="1"/>
      <protection locked="0"/>
    </xf>
    <xf numFmtId="166" fontId="60" fillId="0" borderId="8" xfId="1" applyNumberFormat="1" applyFont="1" applyBorder="1" applyAlignment="1" applyProtection="1">
      <alignment horizontal="center" vertical="top" wrapText="1"/>
      <protection locked="0"/>
    </xf>
    <xf numFmtId="166" fontId="60" fillId="0" borderId="54" xfId="1" applyNumberFormat="1" applyFont="1" applyBorder="1" applyAlignment="1" applyProtection="1">
      <alignment horizontal="center" vertical="top" wrapText="1"/>
      <protection locked="0"/>
    </xf>
    <xf numFmtId="166" fontId="60" fillId="0" borderId="6" xfId="1" applyNumberFormat="1" applyFont="1" applyBorder="1" applyAlignment="1" applyProtection="1">
      <alignment horizontal="center" vertical="top" wrapText="1"/>
    </xf>
    <xf numFmtId="1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9" fillId="0" borderId="0" xfId="0" applyFont="1" applyFill="1" applyAlignment="1" applyProtection="1">
      <alignment vertical="center" wrapText="1"/>
    </xf>
    <xf numFmtId="0" fontId="19" fillId="0" borderId="28" xfId="0" applyFont="1" applyFill="1" applyBorder="1" applyAlignment="1" applyProtection="1">
      <alignment horizontal="right" vertical="center" wrapText="1" indent="1"/>
    </xf>
    <xf numFmtId="0" fontId="19" fillId="0" borderId="33" xfId="0" applyFont="1" applyFill="1" applyBorder="1" applyAlignment="1" applyProtection="1">
      <alignment horizontal="left" vertical="center" wrapText="1"/>
      <protection locked="0"/>
    </xf>
    <xf numFmtId="164" fontId="19" fillId="0" borderId="33" xfId="0" applyNumberFormat="1" applyFont="1" applyFill="1" applyBorder="1" applyAlignment="1" applyProtection="1">
      <alignment vertical="center" wrapText="1"/>
      <protection locked="0"/>
    </xf>
    <xf numFmtId="164" fontId="19" fillId="0" borderId="33" xfId="0" applyNumberFormat="1" applyFont="1" applyFill="1" applyBorder="1" applyAlignment="1" applyProtection="1">
      <alignment vertical="center" wrapText="1"/>
    </xf>
    <xf numFmtId="164" fontId="19" fillId="0" borderId="48" xfId="0" applyNumberFormat="1" applyFont="1" applyFill="1" applyBorder="1" applyAlignment="1" applyProtection="1">
      <alignment vertical="center" wrapText="1"/>
      <protection locked="0"/>
    </xf>
    <xf numFmtId="0" fontId="19" fillId="0" borderId="3" xfId="0" applyFont="1" applyFill="1" applyBorder="1" applyAlignment="1" applyProtection="1">
      <alignment horizontal="right" vertical="center" wrapText="1" indent="1"/>
    </xf>
    <xf numFmtId="0" fontId="19" fillId="0" borderId="1" xfId="0" applyFont="1" applyFill="1" applyBorder="1" applyAlignment="1" applyProtection="1">
      <alignment horizontal="left" vertical="center" wrapText="1"/>
      <protection locked="0"/>
    </xf>
    <xf numFmtId="0" fontId="19" fillId="0" borderId="2" xfId="0" applyFont="1" applyFill="1" applyBorder="1" applyAlignment="1" applyProtection="1">
      <alignment horizontal="left" vertical="center" wrapText="1"/>
      <protection locked="0"/>
    </xf>
    <xf numFmtId="164" fontId="19" fillId="0" borderId="54" xfId="0" applyNumberFormat="1" applyFont="1" applyFill="1" applyBorder="1" applyAlignment="1" applyProtection="1">
      <alignment vertical="center" wrapText="1"/>
      <protection locked="0"/>
    </xf>
    <xf numFmtId="0" fontId="8" fillId="0" borderId="26" xfId="0" applyFont="1" applyFill="1" applyBorder="1" applyAlignment="1" applyProtection="1">
      <alignment horizontal="center" vertical="center" wrapText="1"/>
    </xf>
    <xf numFmtId="0" fontId="8" fillId="0" borderId="51" xfId="0" applyFont="1" applyFill="1" applyBorder="1" applyAlignment="1" applyProtection="1">
      <alignment horizontal="center" vertical="center" wrapText="1"/>
    </xf>
    <xf numFmtId="0" fontId="49" fillId="0" borderId="51" xfId="7" applyFont="1" applyFill="1" applyBorder="1" applyAlignment="1" applyProtection="1">
      <alignment horizontal="center" vertical="center" textRotation="90"/>
    </xf>
    <xf numFmtId="0" fontId="23" fillId="0" borderId="0" xfId="0" applyFont="1" applyBorder="1" applyAlignment="1" applyProtection="1">
      <alignment horizontal="left" vertical="center" wrapText="1" indent="1"/>
    </xf>
    <xf numFmtId="164" fontId="28" fillId="0" borderId="0" xfId="6" applyNumberFormat="1" applyFont="1" applyFill="1" applyBorder="1" applyAlignment="1" applyProtection="1">
      <alignment horizontal="right" vertical="center" wrapText="1" indent="1"/>
    </xf>
    <xf numFmtId="0" fontId="25" fillId="0" borderId="5" xfId="0" applyFont="1" applyBorder="1" applyAlignment="1" applyProtection="1">
      <alignment vertical="center" wrapText="1"/>
    </xf>
    <xf numFmtId="164" fontId="19" fillId="0" borderId="56" xfId="6" applyNumberFormat="1" applyFont="1" applyFill="1" applyBorder="1" applyAlignment="1" applyProtection="1">
      <alignment horizontal="right" vertical="center" wrapText="1" indent="1"/>
      <protection locked="0"/>
    </xf>
    <xf numFmtId="0" fontId="24" fillId="0" borderId="2" xfId="0" applyFont="1" applyBorder="1" applyAlignment="1" applyProtection="1">
      <alignment vertical="center" wrapText="1"/>
    </xf>
    <xf numFmtId="0" fontId="25" fillId="0" borderId="57" xfId="0" applyFont="1" applyBorder="1" applyAlignment="1" applyProtection="1">
      <alignment vertical="center" wrapText="1"/>
    </xf>
    <xf numFmtId="164" fontId="23" fillId="0" borderId="5" xfId="0" quotePrefix="1" applyNumberFormat="1" applyFont="1" applyBorder="1" applyAlignment="1" applyProtection="1">
      <alignment horizontal="right" vertical="center" wrapText="1" indent="1"/>
    </xf>
    <xf numFmtId="164" fontId="23" fillId="0" borderId="34" xfId="0" quotePrefix="1" applyNumberFormat="1" applyFont="1" applyBorder="1" applyAlignment="1" applyProtection="1">
      <alignment horizontal="right" vertical="center" wrapText="1" indent="1"/>
    </xf>
    <xf numFmtId="164" fontId="25" fillId="0" borderId="34" xfId="0" applyNumberFormat="1" applyFont="1" applyBorder="1" applyAlignment="1" applyProtection="1">
      <alignment horizontal="right" vertical="center" wrapText="1" indent="1"/>
    </xf>
    <xf numFmtId="164" fontId="19" fillId="0" borderId="40" xfId="6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58" xfId="6" applyNumberFormat="1" applyFont="1" applyFill="1" applyBorder="1" applyAlignment="1" applyProtection="1">
      <alignment horizontal="right" vertical="center" wrapText="1" indent="1"/>
    </xf>
    <xf numFmtId="0" fontId="19" fillId="0" borderId="9" xfId="6" applyFont="1" applyFill="1" applyBorder="1" applyAlignment="1" applyProtection="1">
      <alignment horizontal="left" vertical="center" wrapText="1" indent="1"/>
    </xf>
    <xf numFmtId="0" fontId="19" fillId="0" borderId="1" xfId="6" applyFont="1" applyFill="1" applyBorder="1" applyAlignment="1" applyProtection="1">
      <alignment horizontal="left" vertical="center" wrapText="1" indent="1"/>
    </xf>
    <xf numFmtId="0" fontId="19" fillId="0" borderId="33" xfId="6" applyFont="1" applyFill="1" applyBorder="1" applyAlignment="1" applyProtection="1">
      <alignment horizontal="left" vertical="center" wrapText="1" indent="1"/>
    </xf>
    <xf numFmtId="0" fontId="19" fillId="0" borderId="32" xfId="6" applyFont="1" applyFill="1" applyBorder="1" applyAlignment="1" applyProtection="1">
      <alignment horizontal="left" vertical="center" wrapText="1" indent="1"/>
    </xf>
    <xf numFmtId="0" fontId="19" fillId="0" borderId="49" xfId="6" applyFont="1" applyFill="1" applyBorder="1" applyAlignment="1" applyProtection="1">
      <alignment horizontal="left" vertical="center" wrapText="1" indent="1"/>
    </xf>
    <xf numFmtId="0" fontId="19" fillId="0" borderId="2" xfId="6" applyFont="1" applyFill="1" applyBorder="1" applyAlignment="1" applyProtection="1">
      <alignment horizontal="left" vertical="center" wrapText="1" indent="1"/>
    </xf>
    <xf numFmtId="49" fontId="19" fillId="0" borderId="43" xfId="6" applyNumberFormat="1" applyFont="1" applyFill="1" applyBorder="1" applyAlignment="1" applyProtection="1">
      <alignment horizontal="left" vertical="center" wrapText="1" indent="1"/>
    </xf>
    <xf numFmtId="49" fontId="19" fillId="0" borderId="3" xfId="6" applyNumberFormat="1" applyFont="1" applyFill="1" applyBorder="1" applyAlignment="1" applyProtection="1">
      <alignment horizontal="left" vertical="center" wrapText="1" indent="1"/>
    </xf>
    <xf numFmtId="49" fontId="19" fillId="0" borderId="28" xfId="6" applyNumberFormat="1" applyFont="1" applyFill="1" applyBorder="1" applyAlignment="1" applyProtection="1">
      <alignment horizontal="left" vertical="center" wrapText="1" indent="1"/>
    </xf>
    <xf numFmtId="49" fontId="19" fillId="0" borderId="4" xfId="6" applyNumberFormat="1" applyFont="1" applyFill="1" applyBorder="1" applyAlignment="1" applyProtection="1">
      <alignment horizontal="left" vertical="center" wrapText="1" indent="1"/>
    </xf>
    <xf numFmtId="49" fontId="19" fillId="0" borderId="42" xfId="6" applyNumberFormat="1" applyFont="1" applyFill="1" applyBorder="1" applyAlignment="1" applyProtection="1">
      <alignment horizontal="left" vertical="center" wrapText="1" indent="1"/>
    </xf>
    <xf numFmtId="49" fontId="19" fillId="0" borderId="46" xfId="6" applyNumberFormat="1" applyFont="1" applyFill="1" applyBorder="1" applyAlignment="1" applyProtection="1">
      <alignment horizontal="left" vertical="center" wrapText="1" indent="1"/>
    </xf>
    <xf numFmtId="0" fontId="19" fillId="0" borderId="0" xfId="6" applyFont="1" applyFill="1" applyBorder="1" applyAlignment="1" applyProtection="1">
      <alignment horizontal="left" vertical="center" wrapText="1" indent="1"/>
    </xf>
    <xf numFmtId="0" fontId="18" fillId="0" borderId="7" xfId="6" applyFont="1" applyFill="1" applyBorder="1" applyAlignment="1" applyProtection="1">
      <alignment horizontal="left" vertical="center" wrapText="1" indent="1"/>
    </xf>
    <xf numFmtId="0" fontId="18" fillId="0" borderId="5" xfId="6" applyFont="1" applyFill="1" applyBorder="1" applyAlignment="1" applyProtection="1">
      <alignment horizontal="left" vertical="center" wrapText="1" indent="1"/>
    </xf>
    <xf numFmtId="0" fontId="18" fillId="0" borderId="50" xfId="6" applyFont="1" applyFill="1" applyBorder="1" applyAlignment="1" applyProtection="1">
      <alignment horizontal="left" vertical="center" wrapText="1" indent="1"/>
    </xf>
    <xf numFmtId="0" fontId="18" fillId="0" borderId="5" xfId="6" applyFont="1" applyFill="1" applyBorder="1" applyAlignment="1" applyProtection="1">
      <alignment vertical="center" wrapText="1"/>
    </xf>
    <xf numFmtId="0" fontId="18" fillId="0" borderId="51" xfId="6" applyFont="1" applyFill="1" applyBorder="1" applyAlignment="1" applyProtection="1">
      <alignment vertical="center" wrapText="1"/>
    </xf>
    <xf numFmtId="0" fontId="18" fillId="0" borderId="7" xfId="6" applyFont="1" applyFill="1" applyBorder="1" applyAlignment="1" applyProtection="1">
      <alignment horizontal="center" vertical="center" wrapText="1"/>
    </xf>
    <xf numFmtId="0" fontId="18" fillId="0" borderId="5" xfId="6" applyFont="1" applyFill="1" applyBorder="1" applyAlignment="1" applyProtection="1">
      <alignment horizontal="center" vertical="center" wrapText="1"/>
    </xf>
    <xf numFmtId="0" fontId="18" fillId="0" borderId="6" xfId="6" applyFont="1" applyFill="1" applyBorder="1" applyAlignment="1" applyProtection="1">
      <alignment horizontal="center" vertical="center" wrapText="1"/>
    </xf>
    <xf numFmtId="0" fontId="26" fillId="0" borderId="5" xfId="6" applyFont="1" applyFill="1" applyBorder="1" applyAlignment="1" applyProtection="1">
      <alignment horizontal="left" vertical="center" wrapText="1" indent="1"/>
    </xf>
    <xf numFmtId="0" fontId="6" fillId="0" borderId="10" xfId="0" applyFont="1" applyFill="1" applyBorder="1" applyAlignment="1" applyProtection="1">
      <alignment horizontal="right"/>
    </xf>
    <xf numFmtId="164" fontId="32" fillId="0" borderId="10" xfId="6" applyNumberFormat="1" applyFont="1" applyFill="1" applyBorder="1" applyAlignment="1" applyProtection="1">
      <alignment horizontal="left" vertical="center"/>
    </xf>
    <xf numFmtId="0" fontId="19" fillId="0" borderId="1" xfId="6" applyFont="1" applyFill="1" applyBorder="1" applyAlignment="1" applyProtection="1">
      <alignment horizontal="left" indent="6"/>
    </xf>
    <xf numFmtId="0" fontId="19" fillId="0" borderId="1" xfId="6" applyFont="1" applyFill="1" applyBorder="1" applyAlignment="1" applyProtection="1">
      <alignment horizontal="left" vertical="center" wrapText="1" indent="6"/>
    </xf>
    <xf numFmtId="0" fontId="19" fillId="0" borderId="2" xfId="6" applyFont="1" applyFill="1" applyBorder="1" applyAlignment="1" applyProtection="1">
      <alignment horizontal="left" vertical="center" wrapText="1" indent="6"/>
    </xf>
    <xf numFmtId="0" fontId="19" fillId="0" borderId="11" xfId="6" applyFont="1" applyFill="1" applyBorder="1" applyAlignment="1" applyProtection="1">
      <alignment horizontal="left" vertical="center" wrapText="1" indent="6"/>
    </xf>
    <xf numFmtId="164" fontId="18" fillId="0" borderId="34" xfId="6" applyNumberFormat="1" applyFont="1" applyFill="1" applyBorder="1" applyAlignment="1" applyProtection="1">
      <alignment horizontal="right" vertical="center" wrapText="1" indent="1"/>
    </xf>
    <xf numFmtId="164" fontId="19" fillId="0" borderId="36" xfId="6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59" xfId="6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60" xfId="6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36" xfId="6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60" xfId="6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59" xfId="6" applyNumberFormat="1" applyFont="1" applyFill="1" applyBorder="1" applyAlignment="1" applyProtection="1">
      <alignment horizontal="right" vertical="center" wrapText="1" indent="1"/>
      <protection locked="0"/>
    </xf>
    <xf numFmtId="0" fontId="25" fillId="0" borderId="5" xfId="0" applyFont="1" applyBorder="1" applyAlignment="1" applyProtection="1">
      <alignment horizontal="left" vertical="center" wrapText="1" indent="1"/>
    </xf>
    <xf numFmtId="0" fontId="24" fillId="0" borderId="1" xfId="0" applyFont="1" applyBorder="1" applyAlignment="1" applyProtection="1">
      <alignment horizontal="left" vertical="center" wrapText="1" indent="1"/>
    </xf>
    <xf numFmtId="0" fontId="24" fillId="0" borderId="2" xfId="0" applyFont="1" applyBorder="1" applyAlignment="1" applyProtection="1">
      <alignment horizontal="left" vertical="center" wrapText="1" indent="1"/>
    </xf>
    <xf numFmtId="0" fontId="25" fillId="0" borderId="61" xfId="0" applyFont="1" applyBorder="1" applyAlignment="1" applyProtection="1">
      <alignment horizontal="left" vertical="center" wrapText="1" indent="1"/>
    </xf>
    <xf numFmtId="164" fontId="18" fillId="0" borderId="6" xfId="6" applyNumberFormat="1" applyFont="1" applyFill="1" applyBorder="1" applyAlignment="1" applyProtection="1">
      <alignment horizontal="right" vertical="center" wrapText="1" indent="1"/>
    </xf>
    <xf numFmtId="0" fontId="6" fillId="0" borderId="10" xfId="0" applyFont="1" applyFill="1" applyBorder="1" applyAlignment="1" applyProtection="1">
      <alignment horizontal="right" vertical="center"/>
    </xf>
    <xf numFmtId="0" fontId="23" fillId="0" borderId="57" xfId="0" applyFont="1" applyBorder="1" applyAlignment="1" applyProtection="1">
      <alignment horizontal="left" vertical="center" wrapText="1" indent="1"/>
    </xf>
    <xf numFmtId="0" fontId="11" fillId="0" borderId="0" xfId="6" applyFont="1" applyFill="1" applyProtection="1"/>
    <xf numFmtId="0" fontId="11" fillId="0" borderId="0" xfId="6" applyFont="1" applyFill="1" applyAlignment="1" applyProtection="1">
      <alignment horizontal="right" vertical="center" indent="1"/>
    </xf>
    <xf numFmtId="164" fontId="18" fillId="0" borderId="51" xfId="6" applyNumberFormat="1" applyFont="1" applyFill="1" applyBorder="1" applyAlignment="1" applyProtection="1">
      <alignment horizontal="right" vertical="center" wrapText="1" indent="1"/>
    </xf>
    <xf numFmtId="164" fontId="18" fillId="0" borderId="5" xfId="6" applyNumberFormat="1" applyFont="1" applyFill="1" applyBorder="1" applyAlignment="1" applyProtection="1">
      <alignment horizontal="right" vertical="center" wrapText="1" indent="1"/>
    </xf>
    <xf numFmtId="164" fontId="19" fillId="0" borderId="1" xfId="6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33" xfId="6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2" xfId="6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1" xfId="6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2" xfId="6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5" xfId="6" applyNumberFormat="1" applyFont="1" applyFill="1" applyBorder="1" applyAlignment="1" applyProtection="1">
      <alignment horizontal="right" vertical="center" wrapText="1" indent="1"/>
    </xf>
    <xf numFmtId="0" fontId="19" fillId="0" borderId="33" xfId="6" applyFont="1" applyFill="1" applyBorder="1" applyAlignment="1" applyProtection="1">
      <alignment horizontal="left" vertical="center" wrapText="1" indent="6"/>
    </xf>
    <xf numFmtId="0" fontId="11" fillId="0" borderId="0" xfId="6" applyFill="1" applyProtection="1"/>
    <xf numFmtId="0" fontId="19" fillId="0" borderId="0" xfId="6" applyFont="1" applyFill="1" applyProtection="1"/>
    <xf numFmtId="0" fontId="14" fillId="0" borderId="0" xfId="6" applyFont="1" applyFill="1" applyProtection="1"/>
    <xf numFmtId="0" fontId="24" fillId="0" borderId="33" xfId="0" applyFont="1" applyBorder="1" applyAlignment="1" applyProtection="1">
      <alignment horizontal="left" wrapText="1" indent="1"/>
    </xf>
    <xf numFmtId="0" fontId="24" fillId="0" borderId="1" xfId="0" applyFont="1" applyBorder="1" applyAlignment="1" applyProtection="1">
      <alignment horizontal="left" wrapText="1" indent="1"/>
    </xf>
    <xf numFmtId="0" fontId="24" fillId="0" borderId="2" xfId="0" applyFont="1" applyBorder="1" applyAlignment="1" applyProtection="1">
      <alignment horizontal="left" wrapText="1" indent="1"/>
    </xf>
    <xf numFmtId="0" fontId="24" fillId="0" borderId="28" xfId="0" applyFont="1" applyBorder="1" applyAlignment="1" applyProtection="1">
      <alignment wrapText="1"/>
    </xf>
    <xf numFmtId="0" fontId="24" fillId="0" borderId="3" xfId="0" applyFont="1" applyBorder="1" applyAlignment="1" applyProtection="1">
      <alignment wrapText="1"/>
    </xf>
    <xf numFmtId="0" fontId="11" fillId="0" borderId="0" xfId="6" applyFill="1" applyAlignment="1" applyProtection="1"/>
    <xf numFmtId="0" fontId="22" fillId="0" borderId="0" xfId="6" applyFont="1" applyFill="1" applyProtection="1"/>
    <xf numFmtId="0" fontId="21" fillId="0" borderId="0" xfId="6" applyFont="1" applyFill="1" applyProtection="1"/>
    <xf numFmtId="164" fontId="26" fillId="0" borderId="34" xfId="6" applyNumberFormat="1" applyFont="1" applyFill="1" applyBorder="1" applyAlignment="1" applyProtection="1">
      <alignment horizontal="right" vertical="center" wrapText="1" indent="1"/>
    </xf>
    <xf numFmtId="0" fontId="18" fillId="0" borderId="34" xfId="6" applyFont="1" applyFill="1" applyBorder="1" applyAlignment="1" applyProtection="1">
      <alignment horizontal="center" vertical="center" wrapText="1"/>
    </xf>
    <xf numFmtId="164" fontId="27" fillId="0" borderId="33" xfId="6" applyNumberFormat="1" applyFont="1" applyFill="1" applyBorder="1" applyAlignment="1" applyProtection="1">
      <alignment horizontal="right" vertical="center" wrapText="1" indent="1"/>
      <protection locked="0"/>
    </xf>
    <xf numFmtId="0" fontId="25" fillId="0" borderId="7" xfId="0" applyFont="1" applyBorder="1" applyAlignment="1" applyProtection="1">
      <alignment vertical="center" wrapText="1"/>
    </xf>
    <xf numFmtId="0" fontId="24" fillId="0" borderId="4" xfId="0" applyFont="1" applyBorder="1" applyAlignment="1" applyProtection="1">
      <alignment vertical="center" wrapText="1"/>
    </xf>
    <xf numFmtId="0" fontId="25" fillId="0" borderId="61" xfId="0" applyFont="1" applyBorder="1" applyAlignment="1" applyProtection="1">
      <alignment vertical="center" wrapText="1"/>
    </xf>
    <xf numFmtId="164" fontId="18" fillId="0" borderId="5" xfId="6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34" xfId="6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0" xfId="6" applyFill="1" applyAlignment="1" applyProtection="1">
      <alignment horizontal="left" vertical="center" indent="1"/>
    </xf>
    <xf numFmtId="164" fontId="8" fillId="0" borderId="35" xfId="0" applyNumberFormat="1" applyFont="1" applyFill="1" applyBorder="1" applyAlignment="1" applyProtection="1">
      <alignment horizontal="center" vertical="center" wrapText="1"/>
    </xf>
    <xf numFmtId="164" fontId="27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7" xfId="0" applyNumberFormat="1" applyFont="1" applyFill="1" applyBorder="1" applyAlignment="1" applyProtection="1">
      <alignment horizontal="left" vertical="center" wrapText="1" indent="1"/>
    </xf>
    <xf numFmtId="164" fontId="19" fillId="0" borderId="33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14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5" xfId="0" applyNumberFormat="1" applyFont="1" applyFill="1" applyBorder="1" applyAlignment="1" applyProtection="1">
      <alignment horizontal="right" vertical="center" wrapText="1" indent="1"/>
    </xf>
    <xf numFmtId="164" fontId="27" fillId="0" borderId="9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48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8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54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0" xfId="0" applyNumberFormat="1" applyFont="1" applyFill="1" applyAlignment="1" applyProtection="1">
      <alignment horizontal="centerContinuous" vertical="center" wrapText="1"/>
    </xf>
    <xf numFmtId="164" fontId="0" fillId="0" borderId="0" xfId="0" applyNumberFormat="1" applyFill="1" applyAlignment="1" applyProtection="1">
      <alignment horizontal="centerContinuous" vertical="center"/>
    </xf>
    <xf numFmtId="164" fontId="5" fillId="0" borderId="0" xfId="0" applyNumberFormat="1" applyFont="1" applyFill="1" applyAlignment="1" applyProtection="1">
      <alignment horizontal="center" vertical="center" wrapText="1"/>
    </xf>
    <xf numFmtId="164" fontId="26" fillId="0" borderId="0" xfId="0" applyNumberFormat="1" applyFont="1" applyFill="1" applyAlignment="1" applyProtection="1">
      <alignment horizontal="center" vertical="center" wrapText="1"/>
    </xf>
    <xf numFmtId="164" fontId="0" fillId="0" borderId="29" xfId="0" applyNumberFormat="1" applyFill="1" applyBorder="1" applyAlignment="1" applyProtection="1">
      <alignment horizontal="left" vertical="center" wrapText="1" indent="1"/>
    </xf>
    <xf numFmtId="164" fontId="19" fillId="0" borderId="28" xfId="0" applyNumberFormat="1" applyFont="1" applyFill="1" applyBorder="1" applyAlignment="1" applyProtection="1">
      <alignment horizontal="left" vertical="center" wrapText="1" indent="1"/>
    </xf>
    <xf numFmtId="164" fontId="0" fillId="0" borderId="23" xfId="0" applyNumberFormat="1" applyFill="1" applyBorder="1" applyAlignment="1" applyProtection="1">
      <alignment horizontal="left" vertical="center" wrapText="1" indent="1"/>
    </xf>
    <xf numFmtId="164" fontId="19" fillId="0" borderId="3" xfId="0" applyNumberFormat="1" applyFont="1" applyFill="1" applyBorder="1" applyAlignment="1" applyProtection="1">
      <alignment horizontal="left" vertical="center" wrapText="1" indent="1"/>
    </xf>
    <xf numFmtId="164" fontId="19" fillId="0" borderId="62" xfId="0" applyNumberFormat="1" applyFont="1" applyFill="1" applyBorder="1" applyAlignment="1" applyProtection="1">
      <alignment horizontal="left" vertical="center" wrapText="1" indent="1"/>
    </xf>
    <xf numFmtId="164" fontId="29" fillId="0" borderId="16" xfId="0" applyNumberFormat="1" applyFont="1" applyFill="1" applyBorder="1" applyAlignment="1" applyProtection="1">
      <alignment horizontal="left" vertical="center" wrapText="1" indent="1"/>
    </xf>
    <xf numFmtId="164" fontId="15" fillId="0" borderId="63" xfId="0" applyNumberFormat="1" applyFont="1" applyFill="1" applyBorder="1" applyAlignment="1" applyProtection="1">
      <alignment horizontal="left" vertical="center" wrapText="1" indent="1"/>
    </xf>
    <xf numFmtId="164" fontId="27" fillId="0" borderId="43" xfId="0" applyNumberFormat="1" applyFont="1" applyFill="1" applyBorder="1" applyAlignment="1" applyProtection="1">
      <alignment horizontal="left" vertical="center" wrapText="1" indent="1"/>
    </xf>
    <xf numFmtId="164" fontId="27" fillId="0" borderId="3" xfId="0" applyNumberFormat="1" applyFont="1" applyFill="1" applyBorder="1" applyAlignment="1" applyProtection="1">
      <alignment horizontal="left" vertical="center" wrapText="1" indent="1"/>
    </xf>
    <xf numFmtId="164" fontId="15" fillId="0" borderId="23" xfId="0" applyNumberFormat="1" applyFont="1" applyFill="1" applyBorder="1" applyAlignment="1" applyProtection="1">
      <alignment horizontal="left" vertical="center" wrapText="1" indent="1"/>
    </xf>
    <xf numFmtId="164" fontId="30" fillId="0" borderId="1" xfId="0" applyNumberFormat="1" applyFont="1" applyFill="1" applyBorder="1" applyAlignment="1" applyProtection="1">
      <alignment horizontal="right" vertical="center" wrapText="1" indent="1"/>
    </xf>
    <xf numFmtId="164" fontId="29" fillId="0" borderId="7" xfId="0" applyNumberFormat="1" applyFont="1" applyFill="1" applyBorder="1" applyAlignment="1" applyProtection="1">
      <alignment horizontal="left" vertical="center" wrapText="1" indent="1"/>
    </xf>
    <xf numFmtId="164" fontId="29" fillId="0" borderId="34" xfId="0" applyNumberFormat="1" applyFont="1" applyFill="1" applyBorder="1" applyAlignment="1" applyProtection="1">
      <alignment horizontal="right" vertical="center" wrapText="1" indent="1"/>
    </xf>
    <xf numFmtId="164" fontId="27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6" xfId="0" applyNumberFormat="1" applyFont="1" applyFill="1" applyBorder="1" applyAlignment="1" applyProtection="1">
      <alignment horizontal="center" vertical="center" wrapText="1"/>
    </xf>
    <xf numFmtId="164" fontId="18" fillId="0" borderId="61" xfId="0" applyNumberFormat="1" applyFont="1" applyFill="1" applyBorder="1" applyAlignment="1" applyProtection="1">
      <alignment horizontal="center" vertical="center" wrapText="1"/>
    </xf>
    <xf numFmtId="164" fontId="18" fillId="0" borderId="57" xfId="0" applyNumberFormat="1" applyFont="1" applyFill="1" applyBorder="1" applyAlignment="1" applyProtection="1">
      <alignment horizontal="center" vertical="center" wrapText="1"/>
    </xf>
    <xf numFmtId="164" fontId="18" fillId="0" borderId="64" xfId="0" applyNumberFormat="1" applyFont="1" applyFill="1" applyBorder="1" applyAlignment="1" applyProtection="1">
      <alignment horizontal="center" vertical="center" wrapText="1"/>
    </xf>
    <xf numFmtId="164" fontId="27" fillId="0" borderId="48" xfId="0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8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28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 applyProtection="1"/>
    <xf numFmtId="0" fontId="21" fillId="0" borderId="0" xfId="0" applyFont="1" applyFill="1" applyProtection="1"/>
    <xf numFmtId="164" fontId="26" fillId="0" borderId="6" xfId="0" applyNumberFormat="1" applyFont="1" applyFill="1" applyBorder="1" applyAlignment="1" applyProtection="1">
      <alignment horizontal="right" vertical="center" wrapText="1" indent="1"/>
    </xf>
    <xf numFmtId="164" fontId="8" fillId="0" borderId="7" xfId="0" applyNumberFormat="1" applyFont="1" applyFill="1" applyBorder="1" applyAlignment="1" applyProtection="1">
      <alignment horizontal="centerContinuous" vertical="center" wrapText="1"/>
    </xf>
    <xf numFmtId="164" fontId="8" fillId="0" borderId="5" xfId="0" applyNumberFormat="1" applyFont="1" applyFill="1" applyBorder="1" applyAlignment="1" applyProtection="1">
      <alignment horizontal="centerContinuous" vertical="center" wrapText="1"/>
    </xf>
    <xf numFmtId="164" fontId="8" fillId="0" borderId="6" xfId="0" applyNumberFormat="1" applyFont="1" applyFill="1" applyBorder="1" applyAlignment="1" applyProtection="1">
      <alignment horizontal="centerContinuous" vertical="center" wrapText="1"/>
    </xf>
    <xf numFmtId="164" fontId="26" fillId="0" borderId="16" xfId="0" applyNumberFormat="1" applyFont="1" applyFill="1" applyBorder="1" applyAlignment="1" applyProtection="1">
      <alignment horizontal="center" vertical="center" wrapText="1"/>
    </xf>
    <xf numFmtId="164" fontId="26" fillId="0" borderId="7" xfId="0" applyNumberFormat="1" applyFont="1" applyFill="1" applyBorder="1" applyAlignment="1" applyProtection="1">
      <alignment horizontal="center" vertical="center" wrapText="1"/>
    </xf>
    <xf numFmtId="164" fontId="26" fillId="0" borderId="5" xfId="0" applyNumberFormat="1" applyFont="1" applyFill="1" applyBorder="1" applyAlignment="1" applyProtection="1">
      <alignment horizontal="center" vertical="center" wrapText="1"/>
    </xf>
    <xf numFmtId="164" fontId="26" fillId="0" borderId="6" xfId="0" applyNumberFormat="1" applyFont="1" applyFill="1" applyBorder="1" applyAlignment="1" applyProtection="1">
      <alignment horizontal="center" vertical="center" wrapText="1"/>
    </xf>
    <xf numFmtId="164" fontId="27" fillId="0" borderId="28" xfId="0" applyNumberFormat="1" applyFont="1" applyFill="1" applyBorder="1" applyAlignment="1" applyProtection="1">
      <alignment horizontal="left" vertical="center" wrapText="1" indent="1"/>
      <protection locked="0"/>
    </xf>
    <xf numFmtId="164" fontId="30" fillId="0" borderId="43" xfId="0" applyNumberFormat="1" applyFont="1" applyFill="1" applyBorder="1" applyAlignment="1" applyProtection="1">
      <alignment horizontal="left" vertical="center" wrapText="1" indent="1"/>
    </xf>
    <xf numFmtId="164" fontId="27" fillId="0" borderId="3" xfId="0" applyNumberFormat="1" applyFont="1" applyFill="1" applyBorder="1" applyAlignment="1" applyProtection="1">
      <alignment horizontal="left" vertical="center" wrapText="1" indent="2"/>
    </xf>
    <xf numFmtId="164" fontId="27" fillId="0" borderId="1" xfId="0" applyNumberFormat="1" applyFont="1" applyFill="1" applyBorder="1" applyAlignment="1" applyProtection="1">
      <alignment horizontal="left" vertical="center" wrapText="1" indent="2"/>
    </xf>
    <xf numFmtId="164" fontId="30" fillId="0" borderId="1" xfId="0" applyNumberFormat="1" applyFont="1" applyFill="1" applyBorder="1" applyAlignment="1" applyProtection="1">
      <alignment horizontal="left" vertical="center" wrapText="1" indent="1"/>
    </xf>
    <xf numFmtId="164" fontId="27" fillId="0" borderId="28" xfId="0" applyNumberFormat="1" applyFont="1" applyFill="1" applyBorder="1" applyAlignment="1" applyProtection="1">
      <alignment horizontal="left" vertical="center" wrapText="1" indent="1"/>
    </xf>
    <xf numFmtId="164" fontId="19" fillId="0" borderId="28" xfId="0" applyNumberFormat="1" applyFont="1" applyFill="1" applyBorder="1" applyAlignment="1" applyProtection="1">
      <alignment horizontal="left" vertical="center" wrapText="1" indent="2"/>
    </xf>
    <xf numFmtId="164" fontId="19" fillId="0" borderId="4" xfId="0" applyNumberFormat="1" applyFont="1" applyFill="1" applyBorder="1" applyAlignment="1" applyProtection="1">
      <alignment horizontal="left" vertical="center" wrapText="1" indent="2"/>
    </xf>
    <xf numFmtId="164" fontId="30" fillId="0" borderId="33" xfId="0" applyNumberFormat="1" applyFont="1" applyFill="1" applyBorder="1" applyAlignment="1" applyProtection="1">
      <alignment horizontal="right" vertical="center" wrapText="1" indent="1"/>
    </xf>
    <xf numFmtId="164" fontId="0" fillId="0" borderId="63" xfId="0" applyNumberFormat="1" applyFill="1" applyBorder="1" applyAlignment="1" applyProtection="1">
      <alignment horizontal="left" vertical="center" wrapText="1" indent="1"/>
    </xf>
    <xf numFmtId="164" fontId="19" fillId="0" borderId="43" xfId="0" applyNumberFormat="1" applyFont="1" applyFill="1" applyBorder="1" applyAlignment="1" applyProtection="1">
      <alignment horizontal="left" vertical="center" wrapText="1" indent="1"/>
    </xf>
    <xf numFmtId="164" fontId="19" fillId="0" borderId="44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3" xfId="0" quotePrefix="1" applyNumberFormat="1" applyFont="1" applyFill="1" applyBorder="1" applyAlignment="1" applyProtection="1">
      <alignment horizontal="left" vertical="center" wrapText="1" indent="3"/>
      <protection locked="0"/>
    </xf>
    <xf numFmtId="164" fontId="19" fillId="0" borderId="43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3" xfId="0" quotePrefix="1" applyNumberFormat="1" applyFont="1" applyFill="1" applyBorder="1" applyAlignment="1" applyProtection="1">
      <alignment horizontal="left" vertical="center" wrapText="1" indent="6"/>
      <protection locked="0"/>
    </xf>
    <xf numFmtId="164" fontId="27" fillId="0" borderId="3" xfId="0" quotePrefix="1" applyNumberFormat="1" applyFont="1" applyFill="1" applyBorder="1" applyAlignment="1" applyProtection="1">
      <alignment horizontal="left" vertical="center" wrapText="1" indent="6"/>
      <protection locked="0"/>
    </xf>
    <xf numFmtId="0" fontId="33" fillId="0" borderId="0" xfId="0" applyFont="1" applyProtection="1"/>
    <xf numFmtId="0" fontId="34" fillId="0" borderId="0" xfId="0" applyFont="1" applyFill="1" applyProtection="1"/>
    <xf numFmtId="0" fontId="37" fillId="0" borderId="0" xfId="0" applyFont="1" applyFill="1" applyProtection="1"/>
    <xf numFmtId="0" fontId="38" fillId="0" borderId="0" xfId="0" applyFont="1" applyProtection="1"/>
    <xf numFmtId="0" fontId="31" fillId="0" borderId="0" xfId="0" applyFont="1" applyProtection="1"/>
    <xf numFmtId="0" fontId="21" fillId="0" borderId="0" xfId="0" applyFont="1" applyProtection="1"/>
    <xf numFmtId="0" fontId="22" fillId="0" borderId="0" xfId="0" applyFont="1" applyAlignment="1" applyProtection="1">
      <alignment horizontal="center"/>
    </xf>
    <xf numFmtId="3" fontId="34" fillId="0" borderId="0" xfId="0" applyNumberFormat="1" applyFont="1" applyFill="1" applyAlignment="1" applyProtection="1">
      <alignment horizontal="right" indent="1"/>
    </xf>
    <xf numFmtId="0" fontId="34" fillId="0" borderId="0" xfId="0" applyFont="1" applyFill="1" applyAlignment="1" applyProtection="1">
      <alignment horizontal="right" indent="1"/>
    </xf>
    <xf numFmtId="3" fontId="28" fillId="0" borderId="0" xfId="0" applyNumberFormat="1" applyFont="1" applyFill="1" applyAlignment="1" applyProtection="1">
      <alignment horizontal="right" indent="1"/>
    </xf>
    <xf numFmtId="0" fontId="31" fillId="0" borderId="0" xfId="0" applyFont="1" applyFill="1" applyProtection="1"/>
    <xf numFmtId="49" fontId="8" fillId="0" borderId="65" xfId="0" applyNumberFormat="1" applyFont="1" applyFill="1" applyBorder="1" applyAlignment="1" applyProtection="1">
      <alignment horizontal="right" vertical="center" indent="1"/>
    </xf>
    <xf numFmtId="16" fontId="0" fillId="0" borderId="0" xfId="0" applyNumberFormat="1" applyFill="1" applyAlignment="1" applyProtection="1">
      <alignment vertical="center" wrapText="1"/>
    </xf>
    <xf numFmtId="0" fontId="18" fillId="0" borderId="7" xfId="0" applyFont="1" applyFill="1" applyBorder="1" applyAlignment="1" applyProtection="1">
      <alignment horizontal="center" vertical="center" wrapText="1"/>
    </xf>
    <xf numFmtId="0" fontId="18" fillId="0" borderId="5" xfId="0" applyFont="1" applyFill="1" applyBorder="1" applyAlignment="1" applyProtection="1">
      <alignment horizontal="center" vertical="center" wrapText="1"/>
    </xf>
    <xf numFmtId="164" fontId="4" fillId="0" borderId="0" xfId="0" applyNumberFormat="1" applyFont="1" applyFill="1" applyAlignment="1" applyProtection="1">
      <alignment horizontal="left" vertical="center" wrapText="1"/>
    </xf>
    <xf numFmtId="164" fontId="4" fillId="0" borderId="0" xfId="0" applyNumberFormat="1" applyFont="1" applyFill="1" applyAlignment="1" applyProtection="1">
      <alignment vertical="center" wrapText="1"/>
    </xf>
    <xf numFmtId="164" fontId="17" fillId="0" borderId="0" xfId="0" applyNumberFormat="1" applyFont="1" applyFill="1" applyAlignment="1" applyProtection="1">
      <alignment vertical="center" wrapText="1"/>
    </xf>
    <xf numFmtId="0" fontId="8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right"/>
    </xf>
    <xf numFmtId="0" fontId="8" fillId="0" borderId="52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wrapText="1" indent="1"/>
    </xf>
    <xf numFmtId="0" fontId="19" fillId="0" borderId="0" xfId="0" applyFont="1" applyFill="1" applyAlignment="1" applyProtection="1">
      <alignment horizontal="left" vertical="center" wrapText="1"/>
    </xf>
    <xf numFmtId="0" fontId="19" fillId="0" borderId="0" xfId="0" applyFont="1" applyFill="1" applyAlignment="1" applyProtection="1">
      <alignment vertical="center" wrapText="1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35" xfId="0" applyFont="1" applyFill="1" applyBorder="1" applyAlignment="1" applyProtection="1">
      <alignment vertical="center" wrapText="1"/>
    </xf>
    <xf numFmtId="0" fontId="36" fillId="0" borderId="0" xfId="0" applyFont="1" applyAlignment="1" applyProtection="1">
      <alignment horizontal="right" vertical="top"/>
      <protection locked="0"/>
    </xf>
    <xf numFmtId="164" fontId="18" fillId="0" borderId="52" xfId="6" applyNumberFormat="1" applyFont="1" applyFill="1" applyBorder="1" applyAlignment="1" applyProtection="1">
      <alignment horizontal="right" vertical="center" wrapText="1" indent="1"/>
    </xf>
    <xf numFmtId="164" fontId="19" fillId="0" borderId="53" xfId="6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8" xfId="6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48" xfId="6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54" xfId="6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6" xfId="6" applyNumberFormat="1" applyFont="1" applyFill="1" applyBorder="1" applyAlignment="1" applyProtection="1">
      <alignment horizontal="right" vertical="center" wrapText="1" indent="1"/>
    </xf>
    <xf numFmtId="164" fontId="19" fillId="0" borderId="12" xfId="6" applyNumberFormat="1" applyFont="1" applyFill="1" applyBorder="1" applyAlignment="1" applyProtection="1">
      <alignment horizontal="right" vertical="center" wrapText="1" indent="1"/>
      <protection locked="0"/>
    </xf>
    <xf numFmtId="164" fontId="25" fillId="0" borderId="6" xfId="0" applyNumberFormat="1" applyFont="1" applyBorder="1" applyAlignment="1" applyProtection="1">
      <alignment horizontal="right" vertical="center" wrapText="1" indent="1"/>
    </xf>
    <xf numFmtId="0" fontId="8" fillId="0" borderId="53" xfId="0" quotePrefix="1" applyFont="1" applyFill="1" applyBorder="1" applyAlignment="1" applyProtection="1">
      <alignment horizontal="right" vertical="center" indent="1"/>
    </xf>
    <xf numFmtId="164" fontId="18" fillId="0" borderId="0" xfId="0" applyNumberFormat="1" applyFont="1" applyFill="1" applyBorder="1" applyAlignment="1" applyProtection="1">
      <alignment horizontal="right" vertical="center" wrapText="1" indent="1"/>
    </xf>
    <xf numFmtId="0" fontId="19" fillId="0" borderId="0" xfId="0" applyFont="1" applyFill="1" applyAlignment="1" applyProtection="1">
      <alignment horizontal="right" vertical="center" wrapText="1" indent="1"/>
    </xf>
    <xf numFmtId="0" fontId="10" fillId="0" borderId="0" xfId="0" applyFont="1" applyFill="1" applyAlignment="1" applyProtection="1">
      <alignment vertical="center" wrapText="1"/>
    </xf>
    <xf numFmtId="0" fontId="15" fillId="0" borderId="0" xfId="0" applyFont="1" applyFill="1" applyAlignment="1" applyProtection="1">
      <alignment horizontal="left" vertical="center" wrapText="1"/>
    </xf>
    <xf numFmtId="0" fontId="15" fillId="0" borderId="0" xfId="0" applyFont="1" applyFill="1" applyAlignment="1" applyProtection="1">
      <alignment vertical="center" wrapText="1"/>
    </xf>
    <xf numFmtId="0" fontId="15" fillId="0" borderId="0" xfId="0" applyFont="1" applyFill="1" applyAlignment="1" applyProtection="1">
      <alignment horizontal="right" vertical="center" wrapText="1" indent="1"/>
    </xf>
    <xf numFmtId="0" fontId="8" fillId="0" borderId="19" xfId="0" applyFont="1" applyFill="1" applyBorder="1" applyAlignment="1" applyProtection="1">
      <alignment horizontal="center" vertical="center" wrapText="1"/>
    </xf>
    <xf numFmtId="0" fontId="18" fillId="0" borderId="50" xfId="6" applyFont="1" applyFill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wrapText="1"/>
    </xf>
    <xf numFmtId="0" fontId="25" fillId="0" borderId="5" xfId="0" applyFont="1" applyBorder="1" applyAlignment="1" applyProtection="1">
      <alignment wrapText="1"/>
    </xf>
    <xf numFmtId="0" fontId="25" fillId="0" borderId="57" xfId="0" applyFont="1" applyBorder="1" applyAlignment="1" applyProtection="1">
      <alignment wrapText="1"/>
    </xf>
    <xf numFmtId="164" fontId="23" fillId="0" borderId="6" xfId="0" quotePrefix="1" applyNumberFormat="1" applyFont="1" applyBorder="1" applyAlignment="1" applyProtection="1">
      <alignment horizontal="right" vertical="center" wrapText="1" indent="1"/>
    </xf>
    <xf numFmtId="49" fontId="19" fillId="0" borderId="28" xfId="6" applyNumberFormat="1" applyFont="1" applyFill="1" applyBorder="1" applyAlignment="1" applyProtection="1">
      <alignment horizontal="center" vertical="center" wrapText="1"/>
    </xf>
    <xf numFmtId="49" fontId="19" fillId="0" borderId="3" xfId="6" applyNumberFormat="1" applyFont="1" applyFill="1" applyBorder="1" applyAlignment="1" applyProtection="1">
      <alignment horizontal="center" vertical="center" wrapText="1"/>
    </xf>
    <xf numFmtId="49" fontId="19" fillId="0" borderId="4" xfId="6" applyNumberFormat="1" applyFont="1" applyFill="1" applyBorder="1" applyAlignment="1" applyProtection="1">
      <alignment horizontal="center" vertical="center" wrapText="1"/>
    </xf>
    <xf numFmtId="0" fontId="25" fillId="0" borderId="7" xfId="0" applyFont="1" applyBorder="1" applyAlignment="1" applyProtection="1">
      <alignment horizontal="center" wrapText="1"/>
    </xf>
    <xf numFmtId="0" fontId="24" fillId="0" borderId="28" xfId="0" applyFont="1" applyBorder="1" applyAlignment="1" applyProtection="1">
      <alignment horizontal="center" wrapText="1"/>
    </xf>
    <xf numFmtId="0" fontId="24" fillId="0" borderId="3" xfId="0" applyFont="1" applyBorder="1" applyAlignment="1" applyProtection="1">
      <alignment horizontal="center" wrapText="1"/>
    </xf>
    <xf numFmtId="0" fontId="24" fillId="0" borderId="4" xfId="0" applyFont="1" applyBorder="1" applyAlignment="1" applyProtection="1">
      <alignment horizontal="center" wrapText="1"/>
    </xf>
    <xf numFmtId="0" fontId="25" fillId="0" borderId="61" xfId="0" applyFont="1" applyBorder="1" applyAlignment="1" applyProtection="1">
      <alignment horizontal="center" wrapText="1"/>
    </xf>
    <xf numFmtId="49" fontId="19" fillId="0" borderId="42" xfId="6" applyNumberFormat="1" applyFont="1" applyFill="1" applyBorder="1" applyAlignment="1" applyProtection="1">
      <alignment horizontal="center" vertical="center" wrapText="1"/>
    </xf>
    <xf numFmtId="49" fontId="19" fillId="0" borderId="43" xfId="6" applyNumberFormat="1" applyFont="1" applyFill="1" applyBorder="1" applyAlignment="1" applyProtection="1">
      <alignment horizontal="center" vertical="center" wrapText="1"/>
    </xf>
    <xf numFmtId="49" fontId="19" fillId="0" borderId="46" xfId="6" applyNumberFormat="1" applyFont="1" applyFill="1" applyBorder="1" applyAlignment="1" applyProtection="1">
      <alignment horizontal="center" vertical="center" wrapText="1"/>
    </xf>
    <xf numFmtId="0" fontId="25" fillId="0" borderId="61" xfId="0" applyFont="1" applyBorder="1" applyAlignment="1" applyProtection="1">
      <alignment horizontal="center" vertical="center" wrapText="1"/>
    </xf>
    <xf numFmtId="0" fontId="8" fillId="0" borderId="66" xfId="0" applyFont="1" applyFill="1" applyBorder="1" applyAlignment="1" applyProtection="1">
      <alignment horizontal="center" vertical="center" wrapText="1"/>
    </xf>
    <xf numFmtId="0" fontId="36" fillId="0" borderId="0" xfId="0" applyFont="1" applyAlignment="1" applyProtection="1">
      <alignment horizontal="right" vertical="top"/>
    </xf>
    <xf numFmtId="0" fontId="7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vertical="center" wrapText="1"/>
    </xf>
    <xf numFmtId="164" fontId="19" fillId="0" borderId="60" xfId="0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56" xfId="0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67" xfId="0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59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67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40" xfId="0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11" xfId="0" applyNumberFormat="1" applyFont="1" applyFill="1" applyBorder="1" applyAlignment="1" applyProtection="1">
      <alignment horizontal="right" vertical="center" wrapText="1" indent="1"/>
      <protection locked="0"/>
    </xf>
    <xf numFmtId="3" fontId="5" fillId="0" borderId="6" xfId="0" applyNumberFormat="1" applyFont="1" applyFill="1" applyBorder="1" applyAlignment="1" applyProtection="1">
      <alignment horizontal="right" vertical="center" wrapText="1" indent="1"/>
      <protection locked="0"/>
    </xf>
    <xf numFmtId="0" fontId="27" fillId="0" borderId="57" xfId="6" applyFont="1" applyFill="1" applyBorder="1" applyAlignment="1" applyProtection="1">
      <alignment horizontal="left" vertical="center" wrapText="1" indent="1"/>
    </xf>
    <xf numFmtId="0" fontId="26" fillId="0" borderId="7" xfId="0" applyFont="1" applyFill="1" applyBorder="1" applyAlignment="1" applyProtection="1">
      <alignment horizontal="center" vertical="center" wrapText="1"/>
    </xf>
    <xf numFmtId="0" fontId="26" fillId="0" borderId="5" xfId="0" applyFont="1" applyFill="1" applyBorder="1" applyAlignment="1" applyProtection="1">
      <alignment horizontal="left" vertical="center" wrapText="1" indent="1"/>
    </xf>
    <xf numFmtId="0" fontId="25" fillId="0" borderId="7" xfId="0" applyFont="1" applyBorder="1" applyAlignment="1" applyProtection="1">
      <alignment horizontal="center" vertical="center" wrapText="1"/>
    </xf>
    <xf numFmtId="0" fontId="35" fillId="0" borderId="35" xfId="0" applyFont="1" applyBorder="1" applyAlignment="1" applyProtection="1">
      <alignment horizontal="left" wrapText="1" indent="1"/>
    </xf>
    <xf numFmtId="0" fontId="8" fillId="0" borderId="5" xfId="0" applyFont="1" applyFill="1" applyBorder="1" applyAlignment="1" applyProtection="1">
      <alignment horizontal="left" vertical="center" wrapText="1" indent="1"/>
    </xf>
    <xf numFmtId="0" fontId="0" fillId="0" borderId="0" xfId="0" applyFill="1" applyAlignment="1" applyProtection="1">
      <alignment horizontal="left" vertical="center" wrapText="1"/>
    </xf>
    <xf numFmtId="164" fontId="26" fillId="0" borderId="34" xfId="0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34" xfId="0" applyNumberFormat="1" applyFont="1" applyFill="1" applyBorder="1" applyAlignment="1" applyProtection="1">
      <alignment horizontal="right" vertical="center" wrapText="1" indent="1"/>
    </xf>
    <xf numFmtId="164" fontId="18" fillId="0" borderId="34" xfId="0" applyNumberFormat="1" applyFont="1" applyFill="1" applyBorder="1" applyAlignment="1" applyProtection="1">
      <alignment horizontal="right" vertical="center" wrapText="1" indent="1"/>
    </xf>
    <xf numFmtId="0" fontId="0" fillId="0" borderId="0" xfId="0" applyFill="1" applyAlignment="1" applyProtection="1">
      <alignment horizontal="right" vertical="center" wrapText="1" indent="1"/>
    </xf>
    <xf numFmtId="49" fontId="8" fillId="0" borderId="53" xfId="0" applyNumberFormat="1" applyFont="1" applyFill="1" applyBorder="1" applyAlignment="1" applyProtection="1">
      <alignment horizontal="right" vertical="center"/>
    </xf>
    <xf numFmtId="49" fontId="8" fillId="0" borderId="65" xfId="0" applyNumberFormat="1" applyFont="1" applyFill="1" applyBorder="1" applyAlignment="1" applyProtection="1">
      <alignment horizontal="right" vertical="center"/>
    </xf>
    <xf numFmtId="49" fontId="27" fillId="0" borderId="42" xfId="0" applyNumberFormat="1" applyFont="1" applyFill="1" applyBorder="1" applyAlignment="1" applyProtection="1">
      <alignment horizontal="center" vertical="center" wrapText="1"/>
    </xf>
    <xf numFmtId="49" fontId="27" fillId="0" borderId="3" xfId="0" applyNumberFormat="1" applyFont="1" applyFill="1" applyBorder="1" applyAlignment="1" applyProtection="1">
      <alignment horizontal="center" vertical="center" wrapText="1"/>
    </xf>
    <xf numFmtId="49" fontId="27" fillId="0" borderId="28" xfId="0" applyNumberFormat="1" applyFont="1" applyFill="1" applyBorder="1" applyAlignment="1" applyProtection="1">
      <alignment horizontal="center" vertical="center" wrapText="1"/>
    </xf>
    <xf numFmtId="0" fontId="27" fillId="0" borderId="33" xfId="6" applyFont="1" applyFill="1" applyBorder="1" applyAlignment="1" applyProtection="1">
      <alignment horizontal="left" vertical="center" wrapText="1" indent="1"/>
    </xf>
    <xf numFmtId="0" fontId="27" fillId="0" borderId="1" xfId="6" applyFont="1" applyFill="1" applyBorder="1" applyAlignment="1" applyProtection="1">
      <alignment horizontal="left" vertical="center" wrapText="1" indent="1"/>
    </xf>
    <xf numFmtId="0" fontId="27" fillId="0" borderId="57" xfId="6" quotePrefix="1" applyFont="1" applyFill="1" applyBorder="1" applyAlignment="1" applyProtection="1">
      <alignment horizontal="left" vertical="center" wrapText="1" indent="1"/>
    </xf>
    <xf numFmtId="164" fontId="27" fillId="0" borderId="36" xfId="0" applyNumberFormat="1" applyFont="1" applyFill="1" applyBorder="1" applyAlignment="1" applyProtection="1">
      <alignment horizontal="right" vertical="center" wrapText="1" indent="1"/>
      <protection locked="0"/>
    </xf>
    <xf numFmtId="0" fontId="18" fillId="0" borderId="7" xfId="0" applyFont="1" applyFill="1" applyBorder="1" applyAlignment="1">
      <alignment horizontal="center" vertical="center" wrapText="1"/>
    </xf>
    <xf numFmtId="0" fontId="26" fillId="0" borderId="5" xfId="6" applyFont="1" applyFill="1" applyBorder="1" applyAlignment="1" applyProtection="1">
      <alignment horizontal="left" vertical="center" wrapText="1"/>
    </xf>
    <xf numFmtId="164" fontId="27" fillId="0" borderId="47" xfId="0" applyNumberFormat="1" applyFont="1" applyFill="1" applyBorder="1" applyAlignment="1" applyProtection="1">
      <alignment horizontal="right" vertical="center" wrapText="1" indent="1"/>
      <protection locked="0"/>
    </xf>
    <xf numFmtId="0" fontId="18" fillId="0" borderId="6" xfId="0" applyFont="1" applyFill="1" applyBorder="1" applyAlignment="1" applyProtection="1">
      <alignment horizontal="center" vertical="center" wrapText="1"/>
    </xf>
    <xf numFmtId="164" fontId="18" fillId="0" borderId="26" xfId="0" applyNumberFormat="1" applyFont="1" applyFill="1" applyBorder="1" applyAlignment="1" applyProtection="1">
      <alignment horizontal="center" vertical="center" wrapText="1"/>
    </xf>
    <xf numFmtId="164" fontId="18" fillId="0" borderId="45" xfId="0" applyNumberFormat="1" applyFont="1" applyFill="1" applyBorder="1" applyAlignment="1" applyProtection="1">
      <alignment horizontal="center" vertical="center" wrapText="1"/>
    </xf>
    <xf numFmtId="164" fontId="18" fillId="0" borderId="63" xfId="0" applyNumberFormat="1" applyFont="1" applyFill="1" applyBorder="1" applyAlignment="1" applyProtection="1">
      <alignment horizontal="center" vertical="center" wrapText="1"/>
    </xf>
    <xf numFmtId="0" fontId="24" fillId="0" borderId="28" xfId="0" applyFont="1" applyBorder="1" applyAlignment="1" applyProtection="1">
      <alignment vertical="center" wrapText="1"/>
    </xf>
    <xf numFmtId="0" fontId="24" fillId="0" borderId="3" xfId="0" applyFont="1" applyBorder="1" applyAlignment="1" applyProtection="1">
      <alignment vertical="center" wrapText="1"/>
    </xf>
    <xf numFmtId="164" fontId="19" fillId="4" borderId="1" xfId="6" applyNumberFormat="1" applyFont="1" applyFill="1" applyBorder="1" applyAlignment="1" applyProtection="1">
      <alignment horizontal="right" vertical="center" wrapText="1" indent="1"/>
      <protection locked="0"/>
    </xf>
    <xf numFmtId="164" fontId="19" fillId="4" borderId="2" xfId="6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35" xfId="0" applyNumberFormat="1" applyFont="1" applyFill="1" applyBorder="1" applyAlignment="1" applyProtection="1">
      <alignment horizontal="right" vertical="center" wrapText="1" indent="1"/>
    </xf>
    <xf numFmtId="164" fontId="19" fillId="0" borderId="68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49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69" xfId="0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35" xfId="0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69" xfId="0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70" xfId="0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35" xfId="0" applyNumberFormat="1" applyFont="1" applyFill="1" applyBorder="1" applyAlignment="1" applyProtection="1">
      <alignment horizontal="right" vertical="center" wrapText="1" indent="1"/>
    </xf>
    <xf numFmtId="0" fontId="18" fillId="0" borderId="5" xfId="6" applyFont="1" applyFill="1" applyBorder="1" applyAlignment="1" applyProtection="1">
      <alignment horizontal="left" vertical="center" wrapText="1"/>
    </xf>
    <xf numFmtId="0" fontId="24" fillId="0" borderId="33" xfId="0" applyFont="1" applyBorder="1" applyAlignment="1" applyProtection="1">
      <alignment horizontal="left" vertical="center" wrapText="1"/>
    </xf>
    <xf numFmtId="0" fontId="24" fillId="0" borderId="1" xfId="0" applyFont="1" applyBorder="1" applyAlignment="1" applyProtection="1">
      <alignment horizontal="left" vertical="center" wrapText="1"/>
    </xf>
    <xf numFmtId="0" fontId="24" fillId="0" borderId="2" xfId="0" applyFont="1" applyBorder="1" applyAlignment="1" applyProtection="1">
      <alignment horizontal="left" vertical="center" wrapText="1"/>
    </xf>
    <xf numFmtId="0" fontId="25" fillId="0" borderId="5" xfId="0" applyFont="1" applyBorder="1" applyAlignment="1" applyProtection="1">
      <alignment horizontal="left" vertical="center" wrapText="1"/>
    </xf>
    <xf numFmtId="0" fontId="19" fillId="0" borderId="32" xfId="6" applyFont="1" applyFill="1" applyBorder="1" applyAlignment="1" applyProtection="1">
      <alignment horizontal="left" vertical="center" wrapText="1"/>
    </xf>
    <xf numFmtId="0" fontId="19" fillId="0" borderId="1" xfId="6" applyFont="1" applyFill="1" applyBorder="1" applyAlignment="1" applyProtection="1">
      <alignment horizontal="left" vertical="center" wrapText="1"/>
    </xf>
    <xf numFmtId="0" fontId="19" fillId="0" borderId="49" xfId="6" applyFont="1" applyFill="1" applyBorder="1" applyAlignment="1" applyProtection="1">
      <alignment horizontal="left" vertical="center" wrapText="1"/>
    </xf>
    <xf numFmtId="0" fontId="19" fillId="0" borderId="0" xfId="6" applyFont="1" applyFill="1" applyBorder="1" applyAlignment="1" applyProtection="1">
      <alignment horizontal="left" vertical="center" wrapText="1"/>
    </xf>
    <xf numFmtId="0" fontId="19" fillId="0" borderId="1" xfId="6" applyFont="1" applyFill="1" applyBorder="1" applyAlignment="1" applyProtection="1">
      <alignment horizontal="left" vertical="center"/>
    </xf>
    <xf numFmtId="0" fontId="19" fillId="0" borderId="2" xfId="6" applyFont="1" applyFill="1" applyBorder="1" applyAlignment="1" applyProtection="1">
      <alignment horizontal="left" vertical="center" wrapText="1"/>
    </xf>
    <xf numFmtId="0" fontId="19" fillId="0" borderId="11" xfId="6" applyFont="1" applyFill="1" applyBorder="1" applyAlignment="1" applyProtection="1">
      <alignment horizontal="left" vertical="center" wrapText="1"/>
    </xf>
    <xf numFmtId="0" fontId="19" fillId="0" borderId="33" xfId="6" applyFont="1" applyFill="1" applyBorder="1" applyAlignment="1" applyProtection="1">
      <alignment horizontal="left" vertical="center" wrapText="1"/>
    </xf>
    <xf numFmtId="0" fontId="19" fillId="0" borderId="9" xfId="6" applyFont="1" applyFill="1" applyBorder="1" applyAlignment="1" applyProtection="1">
      <alignment horizontal="left" vertical="center" wrapText="1"/>
    </xf>
    <xf numFmtId="0" fontId="23" fillId="0" borderId="57" xfId="0" applyFont="1" applyBorder="1" applyAlignment="1" applyProtection="1">
      <alignment horizontal="left" vertical="center" wrapText="1"/>
    </xf>
    <xf numFmtId="0" fontId="42" fillId="0" borderId="0" xfId="8" applyFill="1" applyProtection="1"/>
    <xf numFmtId="0" fontId="62" fillId="0" borderId="0" xfId="8" applyFont="1" applyFill="1" applyProtection="1"/>
    <xf numFmtId="0" fontId="40" fillId="0" borderId="46" xfId="8" applyFont="1" applyFill="1" applyBorder="1" applyAlignment="1" applyProtection="1">
      <alignment horizontal="center" vertical="center" wrapText="1"/>
    </xf>
    <xf numFmtId="0" fontId="40" fillId="0" borderId="11" xfId="8" applyFont="1" applyFill="1" applyBorder="1" applyAlignment="1" applyProtection="1">
      <alignment horizontal="center" vertical="center" wrapText="1"/>
    </xf>
    <xf numFmtId="0" fontId="40" fillId="0" borderId="12" xfId="8" applyFont="1" applyFill="1" applyBorder="1" applyAlignment="1" applyProtection="1">
      <alignment horizontal="center" vertical="center" wrapText="1"/>
    </xf>
    <xf numFmtId="0" fontId="42" fillId="0" borderId="0" xfId="8" applyFill="1" applyAlignment="1" applyProtection="1">
      <alignment horizontal="center" vertical="center"/>
    </xf>
    <xf numFmtId="0" fontId="25" fillId="0" borderId="42" xfId="8" applyFont="1" applyFill="1" applyBorder="1" applyAlignment="1" applyProtection="1">
      <alignment vertical="center" wrapText="1"/>
    </xf>
    <xf numFmtId="169" fontId="19" fillId="0" borderId="32" xfId="7" applyNumberFormat="1" applyFont="1" applyFill="1" applyBorder="1" applyAlignment="1" applyProtection="1">
      <alignment horizontal="center" vertical="center"/>
    </xf>
    <xf numFmtId="168" fontId="50" fillId="0" borderId="32" xfId="8" applyNumberFormat="1" applyFont="1" applyFill="1" applyBorder="1" applyAlignment="1" applyProtection="1">
      <alignment horizontal="right" vertical="center" wrapText="1"/>
      <protection locked="0"/>
    </xf>
    <xf numFmtId="0" fontId="42" fillId="0" borderId="0" xfId="8" applyFill="1" applyAlignment="1" applyProtection="1">
      <alignment vertical="center"/>
    </xf>
    <xf numFmtId="0" fontId="25" fillId="0" borderId="3" xfId="8" applyFont="1" applyFill="1" applyBorder="1" applyAlignment="1" applyProtection="1">
      <alignment vertical="center" wrapText="1"/>
    </xf>
    <xf numFmtId="168" fontId="50" fillId="0" borderId="1" xfId="8" applyNumberFormat="1" applyFont="1" applyFill="1" applyBorder="1" applyAlignment="1" applyProtection="1">
      <alignment horizontal="right" vertical="center" wrapText="1"/>
    </xf>
    <xf numFmtId="0" fontId="39" fillId="0" borderId="3" xfId="8" applyFont="1" applyFill="1" applyBorder="1" applyAlignment="1" applyProtection="1">
      <alignment horizontal="left" vertical="center" wrapText="1" indent="1"/>
    </xf>
    <xf numFmtId="168" fontId="24" fillId="0" borderId="1" xfId="8" applyNumberFormat="1" applyFont="1" applyFill="1" applyBorder="1" applyAlignment="1" applyProtection="1">
      <alignment horizontal="right" vertical="center" wrapText="1"/>
    </xf>
    <xf numFmtId="0" fontId="25" fillId="0" borderId="46" xfId="8" applyFont="1" applyFill="1" applyBorder="1" applyAlignment="1" applyProtection="1">
      <alignment vertical="center" wrapText="1"/>
    </xf>
    <xf numFmtId="168" fontId="50" fillId="0" borderId="11" xfId="8" applyNumberFormat="1" applyFont="1" applyFill="1" applyBorder="1" applyAlignment="1" applyProtection="1">
      <alignment horizontal="right" vertical="center" wrapText="1"/>
    </xf>
    <xf numFmtId="0" fontId="24" fillId="0" borderId="0" xfId="8" applyFont="1" applyFill="1" applyProtection="1"/>
    <xf numFmtId="3" fontId="42" fillId="0" borderId="0" xfId="8" applyNumberFormat="1" applyFont="1" applyFill="1" applyProtection="1"/>
    <xf numFmtId="3" fontId="42" fillId="0" borderId="0" xfId="8" applyNumberFormat="1" applyFont="1" applyFill="1" applyAlignment="1" applyProtection="1">
      <alignment horizontal="center"/>
    </xf>
    <xf numFmtId="0" fontId="42" fillId="0" borderId="0" xfId="8" applyFont="1" applyFill="1" applyProtection="1"/>
    <xf numFmtId="0" fontId="42" fillId="0" borderId="0" xfId="8" applyFill="1" applyAlignment="1" applyProtection="1">
      <alignment horizontal="center"/>
    </xf>
    <xf numFmtId="0" fontId="15" fillId="0" borderId="0" xfId="7" applyFill="1" applyAlignment="1" applyProtection="1">
      <alignment vertical="center"/>
    </xf>
    <xf numFmtId="0" fontId="14" fillId="0" borderId="0" xfId="7" applyFont="1" applyFill="1" applyAlignment="1" applyProtection="1">
      <alignment vertical="center"/>
    </xf>
    <xf numFmtId="0" fontId="42" fillId="0" borderId="0" xfId="8" applyFont="1" applyFill="1" applyAlignment="1" applyProtection="1"/>
    <xf numFmtId="0" fontId="16" fillId="0" borderId="0" xfId="0" applyNumberFormat="1" applyFont="1" applyFill="1" applyAlignment="1" applyProtection="1">
      <alignment textRotation="180" wrapText="1"/>
      <protection locked="0"/>
    </xf>
    <xf numFmtId="0" fontId="63" fillId="0" borderId="0" xfId="0" applyFont="1" applyAlignment="1" applyProtection="1">
      <alignment horizontal="right" vertical="top"/>
    </xf>
    <xf numFmtId="0" fontId="63" fillId="0" borderId="0" xfId="0" applyFont="1" applyAlignment="1" applyProtection="1">
      <alignment horizontal="right" vertical="top"/>
      <protection locked="0"/>
    </xf>
    <xf numFmtId="0" fontId="23" fillId="0" borderId="50" xfId="8" applyFont="1" applyFill="1" applyBorder="1" applyAlignment="1">
      <alignment horizontal="center" vertical="center"/>
    </xf>
    <xf numFmtId="0" fontId="23" fillId="0" borderId="51" xfId="8" applyFont="1" applyFill="1" applyBorder="1" applyAlignment="1">
      <alignment horizontal="center" vertical="center" wrapText="1"/>
    </xf>
    <xf numFmtId="0" fontId="23" fillId="0" borderId="52" xfId="8" applyFont="1" applyFill="1" applyBorder="1" applyAlignment="1">
      <alignment horizontal="center" vertical="center" wrapText="1"/>
    </xf>
    <xf numFmtId="0" fontId="24" fillId="0" borderId="28" xfId="8" applyFont="1" applyFill="1" applyBorder="1" applyProtection="1">
      <protection locked="0"/>
    </xf>
    <xf numFmtId="0" fontId="25" fillId="0" borderId="7" xfId="8" applyFont="1" applyFill="1" applyBorder="1" applyProtection="1">
      <protection locked="0"/>
    </xf>
    <xf numFmtId="0" fontId="24" fillId="0" borderId="5" xfId="8" applyFont="1" applyFill="1" applyBorder="1" applyAlignment="1">
      <alignment horizontal="right" indent="1"/>
    </xf>
    <xf numFmtId="3" fontId="24" fillId="0" borderId="5" xfId="8" applyNumberFormat="1" applyFont="1" applyFill="1" applyBorder="1" applyProtection="1">
      <protection locked="0"/>
    </xf>
    <xf numFmtId="170" fontId="18" fillId="0" borderId="6" xfId="7" applyNumberFormat="1" applyFont="1" applyFill="1" applyBorder="1" applyAlignment="1" applyProtection="1">
      <alignment vertical="center"/>
    </xf>
    <xf numFmtId="0" fontId="63" fillId="0" borderId="0" xfId="8" applyFont="1" applyFill="1"/>
    <xf numFmtId="0" fontId="53" fillId="0" borderId="50" xfId="8" applyFont="1" applyFill="1" applyBorder="1" applyAlignment="1">
      <alignment horizontal="center" vertical="center"/>
    </xf>
    <xf numFmtId="0" fontId="53" fillId="0" borderId="51" xfId="8" applyFont="1" applyFill="1" applyBorder="1" applyAlignment="1">
      <alignment horizontal="center" vertical="center" wrapText="1"/>
    </xf>
    <xf numFmtId="0" fontId="53" fillId="0" borderId="52" xfId="8" applyFont="1" applyFill="1" applyBorder="1" applyAlignment="1">
      <alignment horizontal="center" vertical="center" wrapText="1"/>
    </xf>
    <xf numFmtId="0" fontId="24" fillId="0" borderId="4" xfId="8" applyFont="1" applyFill="1" applyBorder="1" applyAlignment="1" applyProtection="1">
      <alignment horizontal="left" indent="1"/>
      <protection locked="0"/>
    </xf>
    <xf numFmtId="0" fontId="25" fillId="0" borderId="45" xfId="8" applyNumberFormat="1" applyFont="1" applyFill="1" applyBorder="1"/>
    <xf numFmtId="0" fontId="8" fillId="0" borderId="6" xfId="0" applyFont="1" applyFill="1" applyBorder="1" applyAlignment="1" applyProtection="1">
      <alignment horizontal="center" vertical="center" wrapText="1"/>
    </xf>
    <xf numFmtId="0" fontId="0" fillId="0" borderId="11" xfId="0" applyFill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/>
    </xf>
    <xf numFmtId="0" fontId="5" fillId="0" borderId="35" xfId="0" applyFont="1" applyBorder="1" applyAlignment="1">
      <alignment vertical="center" wrapText="1"/>
    </xf>
    <xf numFmtId="0" fontId="5" fillId="0" borderId="61" xfId="0" applyFont="1" applyBorder="1" applyAlignment="1">
      <alignment horizontal="left" vertical="center"/>
    </xf>
    <xf numFmtId="0" fontId="5" fillId="0" borderId="71" xfId="0" applyFont="1" applyBorder="1" applyAlignment="1">
      <alignment vertical="center" wrapText="1"/>
    </xf>
    <xf numFmtId="164" fontId="14" fillId="0" borderId="0" xfId="6" applyNumberFormat="1" applyFont="1" applyFill="1" applyProtection="1"/>
    <xf numFmtId="164" fontId="18" fillId="0" borderId="65" xfId="6" applyNumberFormat="1" applyFont="1" applyFill="1" applyBorder="1" applyAlignment="1" applyProtection="1">
      <alignment horizontal="right" vertical="center" wrapText="1" indent="1"/>
    </xf>
    <xf numFmtId="164" fontId="18" fillId="0" borderId="53" xfId="6" applyNumberFormat="1" applyFont="1" applyFill="1" applyBorder="1" applyAlignment="1" applyProtection="1">
      <alignment horizontal="right" vertical="center" wrapText="1" indent="1"/>
    </xf>
    <xf numFmtId="164" fontId="18" fillId="0" borderId="54" xfId="6" applyNumberFormat="1" applyFont="1" applyFill="1" applyBorder="1" applyAlignment="1" applyProtection="1">
      <alignment horizontal="right" vertical="center" wrapText="1" indent="1"/>
    </xf>
    <xf numFmtId="164" fontId="18" fillId="0" borderId="8" xfId="6" applyNumberFormat="1" applyFont="1" applyFill="1" applyBorder="1" applyAlignment="1" applyProtection="1">
      <alignment horizontal="right" vertical="center" wrapText="1" indent="1"/>
    </xf>
    <xf numFmtId="164" fontId="18" fillId="0" borderId="48" xfId="6" applyNumberFormat="1" applyFont="1" applyFill="1" applyBorder="1" applyAlignment="1" applyProtection="1">
      <alignment horizontal="right" vertical="center" wrapText="1" indent="1"/>
    </xf>
    <xf numFmtId="164" fontId="18" fillId="0" borderId="67" xfId="6" applyNumberFormat="1" applyFont="1" applyFill="1" applyBorder="1" applyAlignment="1" applyProtection="1">
      <alignment horizontal="right" vertical="center" wrapText="1" indent="1"/>
    </xf>
    <xf numFmtId="0" fontId="47" fillId="0" borderId="52" xfId="8" applyFont="1" applyFill="1" applyBorder="1" applyAlignment="1" applyProtection="1">
      <alignment horizontal="center" vertical="center" wrapText="1"/>
    </xf>
    <xf numFmtId="164" fontId="18" fillId="0" borderId="12" xfId="6" applyNumberFormat="1" applyFont="1" applyFill="1" applyBorder="1" applyAlignment="1" applyProtection="1">
      <alignment horizontal="right" vertical="center" wrapText="1" indent="1"/>
    </xf>
    <xf numFmtId="164" fontId="18" fillId="0" borderId="75" xfId="6" applyNumberFormat="1" applyFont="1" applyFill="1" applyBorder="1" applyAlignment="1" applyProtection="1">
      <alignment horizontal="right" vertical="center" wrapText="1" indent="1"/>
    </xf>
    <xf numFmtId="164" fontId="18" fillId="0" borderId="23" xfId="6" applyNumberFormat="1" applyFont="1" applyFill="1" applyBorder="1" applyAlignment="1" applyProtection="1">
      <alignment horizontal="right" vertical="center" wrapText="1" indent="1"/>
    </xf>
    <xf numFmtId="164" fontId="18" fillId="0" borderId="21" xfId="6" applyNumberFormat="1" applyFont="1" applyFill="1" applyBorder="1" applyAlignment="1" applyProtection="1">
      <alignment horizontal="right" vertical="center" wrapText="1" indent="1"/>
    </xf>
    <xf numFmtId="164" fontId="18" fillId="0" borderId="16" xfId="6" applyNumberFormat="1" applyFont="1" applyFill="1" applyBorder="1" applyAlignment="1" applyProtection="1">
      <alignment horizontal="right" vertical="center" wrapText="1" indent="1"/>
    </xf>
    <xf numFmtId="164" fontId="26" fillId="0" borderId="58" xfId="0" applyNumberFormat="1" applyFont="1" applyFill="1" applyBorder="1" applyAlignment="1" applyProtection="1">
      <alignment horizontal="right" vertical="center" wrapText="1" indent="1"/>
    </xf>
    <xf numFmtId="164" fontId="26" fillId="0" borderId="65" xfId="0" applyNumberFormat="1" applyFont="1" applyFill="1" applyBorder="1" applyAlignment="1" applyProtection="1">
      <alignment horizontal="right" vertical="center" wrapText="1" indent="1"/>
    </xf>
    <xf numFmtId="164" fontId="26" fillId="0" borderId="8" xfId="0" applyNumberFormat="1" applyFont="1" applyFill="1" applyBorder="1" applyAlignment="1" applyProtection="1">
      <alignment horizontal="right" vertical="center" wrapText="1" indent="1"/>
    </xf>
    <xf numFmtId="164" fontId="26" fillId="0" borderId="67" xfId="0" applyNumberFormat="1" applyFont="1" applyFill="1" applyBorder="1" applyAlignment="1" applyProtection="1">
      <alignment horizontal="right" vertical="center" wrapText="1" indent="1"/>
    </xf>
    <xf numFmtId="164" fontId="26" fillId="0" borderId="52" xfId="0" applyNumberFormat="1" applyFont="1" applyFill="1" applyBorder="1" applyAlignment="1" applyProtection="1">
      <alignment horizontal="right" vertical="center" wrapText="1" indent="1"/>
    </xf>
    <xf numFmtId="164" fontId="26" fillId="0" borderId="64" xfId="0" applyNumberFormat="1" applyFont="1" applyFill="1" applyBorder="1" applyAlignment="1" applyProtection="1">
      <alignment horizontal="right" vertical="center" wrapText="1" indent="1"/>
    </xf>
    <xf numFmtId="164" fontId="26" fillId="0" borderId="75" xfId="0" applyNumberFormat="1" applyFont="1" applyFill="1" applyBorder="1" applyAlignment="1" applyProtection="1">
      <alignment horizontal="right" vertical="center" wrapText="1" indent="1"/>
    </xf>
    <xf numFmtId="0" fontId="27" fillId="0" borderId="4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4" fillId="0" borderId="49" xfId="0" applyFont="1" applyFill="1" applyBorder="1" applyAlignment="1" applyProtection="1">
      <alignment horizontal="left" vertical="center" wrapText="1" indent="1"/>
    </xf>
    <xf numFmtId="164" fontId="27" fillId="0" borderId="49" xfId="0" applyNumberFormat="1" applyFont="1" applyFill="1" applyBorder="1" applyAlignment="1" applyProtection="1">
      <alignment horizontal="right" vertical="center" wrapText="1" indent="1"/>
      <protection locked="0"/>
    </xf>
    <xf numFmtId="0" fontId="24" fillId="0" borderId="49" xfId="0" applyFont="1" applyFill="1" applyBorder="1" applyAlignment="1" applyProtection="1">
      <alignment horizontal="left" vertical="center" wrapText="1" indent="8"/>
    </xf>
    <xf numFmtId="0" fontId="27" fillId="0" borderId="33" xfId="0" applyFont="1" applyFill="1" applyBorder="1" applyAlignment="1" applyProtection="1">
      <alignment vertical="center" wrapText="1"/>
      <protection locked="0"/>
    </xf>
    <xf numFmtId="164" fontId="27" fillId="0" borderId="12" xfId="0" applyNumberFormat="1" applyFont="1" applyFill="1" applyBorder="1" applyAlignment="1" applyProtection="1">
      <alignment horizontal="right" vertical="center" wrapText="1" indent="1"/>
      <protection locked="0"/>
    </xf>
    <xf numFmtId="0" fontId="26" fillId="0" borderId="7" xfId="0" applyFont="1" applyFill="1" applyBorder="1" applyAlignment="1">
      <alignment horizontal="center" vertical="center" wrapText="1"/>
    </xf>
    <xf numFmtId="0" fontId="28" fillId="0" borderId="57" xfId="0" applyFont="1" applyFill="1" applyBorder="1" applyAlignment="1" applyProtection="1">
      <alignment vertical="center" wrapText="1"/>
    </xf>
    <xf numFmtId="164" fontId="26" fillId="0" borderId="57" xfId="0" applyNumberFormat="1" applyFont="1" applyFill="1" applyBorder="1" applyAlignment="1" applyProtection="1">
      <alignment vertical="center" wrapText="1"/>
    </xf>
    <xf numFmtId="164" fontId="26" fillId="0" borderId="64" xfId="0" applyNumberFormat="1" applyFont="1" applyFill="1" applyBorder="1" applyAlignment="1" applyProtection="1">
      <alignment vertical="center" wrapText="1"/>
    </xf>
    <xf numFmtId="0" fontId="24" fillId="0" borderId="68" xfId="0" applyFont="1" applyFill="1" applyBorder="1" applyAlignment="1" applyProtection="1">
      <alignment horizontal="left" vertical="center" wrapText="1" indent="1"/>
    </xf>
    <xf numFmtId="164" fontId="27" fillId="0" borderId="68" xfId="0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53" xfId="0" applyNumberFormat="1" applyFont="1" applyFill="1" applyBorder="1" applyAlignment="1" applyProtection="1">
      <alignment horizontal="right" vertical="center" wrapText="1" indent="1"/>
      <protection locked="0"/>
    </xf>
    <xf numFmtId="0" fontId="27" fillId="0" borderId="46" xfId="0" applyFont="1" applyFill="1" applyBorder="1" applyAlignment="1">
      <alignment horizontal="center" vertical="center" wrapText="1"/>
    </xf>
    <xf numFmtId="170" fontId="19" fillId="0" borderId="1" xfId="7" applyNumberFormat="1" applyFont="1" applyFill="1" applyBorder="1" applyAlignment="1" applyProtection="1">
      <alignment vertical="center"/>
      <protection locked="0"/>
    </xf>
    <xf numFmtId="170" fontId="18" fillId="0" borderId="1" xfId="7" applyNumberFormat="1" applyFont="1" applyFill="1" applyBorder="1" applyAlignment="1" applyProtection="1">
      <alignment vertical="center"/>
    </xf>
    <xf numFmtId="170" fontId="18" fillId="0" borderId="1" xfId="7" applyNumberFormat="1" applyFont="1" applyFill="1" applyBorder="1" applyAlignment="1" applyProtection="1">
      <alignment vertical="center"/>
      <protection locked="0"/>
    </xf>
    <xf numFmtId="170" fontId="18" fillId="0" borderId="11" xfId="7" applyNumberFormat="1" applyFont="1" applyFill="1" applyBorder="1" applyAlignment="1" applyProtection="1">
      <alignment vertical="center"/>
    </xf>
    <xf numFmtId="0" fontId="47" fillId="0" borderId="41" xfId="8" applyFont="1" applyFill="1" applyBorder="1" applyAlignment="1" applyProtection="1">
      <alignment horizontal="center" wrapText="1"/>
    </xf>
    <xf numFmtId="0" fontId="47" fillId="0" borderId="41" xfId="8" applyFont="1" applyFill="1" applyBorder="1" applyAlignment="1" applyProtection="1">
      <alignment horizontal="center" vertical="center" wrapText="1"/>
    </xf>
    <xf numFmtId="0" fontId="47" fillId="0" borderId="12" xfId="8" applyFont="1" applyFill="1" applyBorder="1" applyAlignment="1" applyProtection="1">
      <alignment horizontal="center" wrapText="1"/>
    </xf>
    <xf numFmtId="0" fontId="47" fillId="0" borderId="51" xfId="8" applyFont="1" applyFill="1" applyBorder="1" applyAlignment="1" applyProtection="1">
      <alignment horizontal="center" vertical="center" wrapText="1"/>
    </xf>
    <xf numFmtId="164" fontId="19" fillId="0" borderId="58" xfId="6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67" xfId="6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34" xfId="6" applyNumberFormat="1" applyFont="1" applyFill="1" applyBorder="1" applyAlignment="1" applyProtection="1">
      <alignment horizontal="right" vertical="center" wrapText="1" indent="1"/>
      <protection locked="0"/>
    </xf>
    <xf numFmtId="0" fontId="27" fillId="0" borderId="32" xfId="0" applyFont="1" applyBorder="1" applyAlignment="1" applyProtection="1">
      <alignment horizontal="left" vertical="center" indent="1"/>
      <protection locked="0"/>
    </xf>
    <xf numFmtId="0" fontId="27" fillId="0" borderId="51" xfId="0" applyFont="1" applyBorder="1" applyAlignment="1" applyProtection="1">
      <alignment horizontal="left" vertical="center" indent="1"/>
      <protection locked="0"/>
    </xf>
    <xf numFmtId="0" fontId="27" fillId="0" borderId="1" xfId="0" applyFont="1" applyBorder="1" applyAlignment="1" applyProtection="1">
      <alignment horizontal="left" vertical="center" indent="1"/>
      <protection locked="0"/>
    </xf>
    <xf numFmtId="0" fontId="27" fillId="0" borderId="9" xfId="0" applyFont="1" applyBorder="1" applyAlignment="1" applyProtection="1">
      <alignment horizontal="left" vertical="center" indent="1"/>
      <protection locked="0"/>
    </xf>
    <xf numFmtId="0" fontId="27" fillId="0" borderId="33" xfId="0" applyFont="1" applyBorder="1" applyAlignment="1" applyProtection="1">
      <alignment horizontal="left" vertical="center" indent="1"/>
      <protection locked="0"/>
    </xf>
    <xf numFmtId="3" fontId="27" fillId="0" borderId="40" xfId="0" applyNumberFormat="1" applyFont="1" applyFill="1" applyBorder="1" applyAlignment="1" applyProtection="1">
      <alignment horizontal="right" vertical="center"/>
      <protection locked="0"/>
    </xf>
    <xf numFmtId="3" fontId="27" fillId="0" borderId="36" xfId="0" applyNumberFormat="1" applyFont="1" applyFill="1" applyBorder="1" applyAlignment="1" applyProtection="1">
      <alignment horizontal="right" vertical="center"/>
      <protection locked="0"/>
    </xf>
    <xf numFmtId="3" fontId="27" fillId="0" borderId="32" xfId="0" applyNumberFormat="1" applyFont="1" applyBorder="1" applyAlignment="1" applyProtection="1">
      <alignment horizontal="right" vertical="center" indent="1"/>
      <protection locked="0"/>
    </xf>
    <xf numFmtId="3" fontId="27" fillId="0" borderId="1" xfId="0" applyNumberFormat="1" applyFont="1" applyBorder="1" applyAlignment="1" applyProtection="1">
      <alignment horizontal="right" vertical="center" indent="1"/>
      <protection locked="0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164" fontId="18" fillId="0" borderId="16" xfId="0" applyNumberFormat="1" applyFont="1" applyFill="1" applyBorder="1" applyAlignment="1" applyProtection="1">
      <alignment horizontal="left" vertical="center" wrapText="1" indent="1"/>
    </xf>
    <xf numFmtId="49" fontId="14" fillId="0" borderId="45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16" xfId="0" applyNumberFormat="1" applyFont="1" applyFill="1" applyBorder="1" applyAlignment="1" applyProtection="1">
      <alignment vertical="center" wrapText="1"/>
    </xf>
    <xf numFmtId="164" fontId="19" fillId="0" borderId="7" xfId="0" applyNumberFormat="1" applyFont="1" applyFill="1" applyBorder="1" applyAlignment="1" applyProtection="1">
      <alignment vertical="center" wrapText="1"/>
    </xf>
    <xf numFmtId="164" fontId="19" fillId="0" borderId="5" xfId="0" applyNumberFormat="1" applyFont="1" applyFill="1" applyBorder="1" applyAlignment="1" applyProtection="1">
      <alignment vertical="center" wrapText="1"/>
    </xf>
    <xf numFmtId="164" fontId="19" fillId="0" borderId="6" xfId="0" applyNumberFormat="1" applyFont="1" applyFill="1" applyBorder="1" applyAlignment="1" applyProtection="1">
      <alignment vertical="center" wrapText="1"/>
    </xf>
    <xf numFmtId="164" fontId="19" fillId="0" borderId="76" xfId="0" applyNumberFormat="1" applyFont="1" applyFill="1" applyBorder="1" applyAlignment="1" applyProtection="1">
      <alignment vertical="center" wrapText="1"/>
      <protection locked="0"/>
    </xf>
    <xf numFmtId="164" fontId="19" fillId="0" borderId="32" xfId="0" applyNumberFormat="1" applyFont="1" applyFill="1" applyBorder="1" applyAlignment="1" applyProtection="1">
      <alignment vertical="center" wrapText="1"/>
      <protection locked="0"/>
    </xf>
    <xf numFmtId="164" fontId="19" fillId="0" borderId="53" xfId="0" applyNumberFormat="1" applyFont="1" applyFill="1" applyBorder="1" applyAlignment="1" applyProtection="1">
      <alignment vertical="center" wrapText="1"/>
      <protection locked="0"/>
    </xf>
    <xf numFmtId="164" fontId="19" fillId="0" borderId="21" xfId="0" applyNumberFormat="1" applyFont="1" applyFill="1" applyBorder="1" applyAlignment="1" applyProtection="1">
      <alignment vertical="center" wrapText="1"/>
    </xf>
    <xf numFmtId="164" fontId="19" fillId="0" borderId="29" xfId="0" applyNumberFormat="1" applyFont="1" applyFill="1" applyBorder="1" applyAlignment="1" applyProtection="1">
      <alignment vertical="center" wrapText="1"/>
    </xf>
    <xf numFmtId="164" fontId="18" fillId="0" borderId="19" xfId="0" applyNumberFormat="1" applyFont="1" applyFill="1" applyBorder="1" applyAlignment="1" applyProtection="1">
      <alignment horizontal="center" vertical="center" wrapText="1"/>
    </xf>
    <xf numFmtId="164" fontId="18" fillId="0" borderId="77" xfId="0" applyNumberFormat="1" applyFont="1" applyFill="1" applyBorder="1" applyAlignment="1" applyProtection="1">
      <alignment horizontal="center" vertical="center" wrapText="1"/>
    </xf>
    <xf numFmtId="164" fontId="18" fillId="0" borderId="22" xfId="0" applyNumberFormat="1" applyFont="1" applyFill="1" applyBorder="1" applyAlignment="1" applyProtection="1">
      <alignment horizontal="center" vertical="center" wrapText="1"/>
    </xf>
    <xf numFmtId="164" fontId="19" fillId="0" borderId="32" xfId="0" applyNumberFormat="1" applyFont="1" applyFill="1" applyBorder="1" applyAlignment="1" applyProtection="1">
      <alignment horizontal="left" vertical="center" wrapText="1" indent="1"/>
      <protection locked="0"/>
    </xf>
    <xf numFmtId="49" fontId="14" fillId="0" borderId="39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78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76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32" xfId="10" applyNumberFormat="1" applyFont="1" applyFill="1" applyBorder="1" applyAlignment="1" applyProtection="1">
      <alignment horizontal="center" vertical="center" wrapText="1"/>
      <protection locked="0"/>
    </xf>
    <xf numFmtId="49" fontId="14" fillId="0" borderId="33" xfId="1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10" applyNumberFormat="1" applyFont="1" applyFill="1" applyBorder="1" applyAlignment="1" applyProtection="1">
      <alignment horizontal="center" vertical="center" wrapText="1"/>
      <protection locked="0"/>
    </xf>
    <xf numFmtId="0" fontId="46" fillId="0" borderId="0" xfId="0" applyFont="1" applyFill="1" applyBorder="1" applyAlignment="1" applyProtection="1">
      <alignment horizontal="center" vertical="center"/>
    </xf>
    <xf numFmtId="0" fontId="53" fillId="0" borderId="0" xfId="0" applyFont="1" applyFill="1" applyBorder="1" applyAlignment="1" applyProtection="1">
      <alignment horizontal="right"/>
    </xf>
    <xf numFmtId="0" fontId="23" fillId="0" borderId="50" xfId="0" applyFont="1" applyFill="1" applyBorder="1" applyAlignment="1" applyProtection="1">
      <alignment horizontal="center" vertical="center" wrapText="1"/>
    </xf>
    <xf numFmtId="0" fontId="50" fillId="0" borderId="7" xfId="0" applyFont="1" applyFill="1" applyBorder="1" applyAlignment="1" applyProtection="1">
      <alignment horizontal="center" vertical="center" wrapText="1"/>
    </xf>
    <xf numFmtId="0" fontId="50" fillId="0" borderId="6" xfId="0" applyFont="1" applyFill="1" applyBorder="1" applyAlignment="1" applyProtection="1">
      <alignment horizontal="center" vertical="center" wrapText="1"/>
    </xf>
    <xf numFmtId="0" fontId="16" fillId="0" borderId="0" xfId="0" applyFont="1" applyFill="1" applyAlignment="1">
      <alignment vertical="center"/>
    </xf>
    <xf numFmtId="0" fontId="24" fillId="0" borderId="79" xfId="0" applyFont="1" applyFill="1" applyBorder="1" applyAlignment="1" applyProtection="1">
      <alignment horizontal="left" vertical="center" wrapText="1"/>
      <protection locked="0"/>
    </xf>
    <xf numFmtId="164" fontId="24" fillId="0" borderId="80" xfId="0" applyNumberFormat="1" applyFont="1" applyFill="1" applyBorder="1" applyAlignment="1" applyProtection="1">
      <alignment horizontal="right" vertical="center" wrapText="1"/>
      <protection locked="0"/>
    </xf>
    <xf numFmtId="0" fontId="24" fillId="0" borderId="81" xfId="0" applyFont="1" applyFill="1" applyBorder="1" applyAlignment="1" applyProtection="1">
      <alignment horizontal="left" vertical="center" wrapText="1"/>
      <protection locked="0"/>
    </xf>
    <xf numFmtId="164" fontId="39" fillId="0" borderId="80" xfId="0" applyNumberFormat="1" applyFont="1" applyFill="1" applyBorder="1" applyAlignment="1" applyProtection="1">
      <alignment horizontal="right" vertical="center" wrapText="1"/>
      <protection locked="0"/>
    </xf>
    <xf numFmtId="0" fontId="25" fillId="0" borderId="81" xfId="0" applyFont="1" applyFill="1" applyBorder="1" applyAlignment="1" applyProtection="1">
      <alignment horizontal="left" vertical="center" wrapText="1"/>
      <protection locked="0"/>
    </xf>
    <xf numFmtId="164" fontId="64" fillId="0" borderId="80" xfId="0" applyNumberFormat="1" applyFont="1" applyFill="1" applyBorder="1" applyAlignment="1" applyProtection="1">
      <alignment horizontal="right" vertical="center" wrapText="1"/>
      <protection locked="0"/>
    </xf>
    <xf numFmtId="164" fontId="25" fillId="0" borderId="80" xfId="0" applyNumberFormat="1" applyFont="1" applyFill="1" applyBorder="1" applyAlignment="1" applyProtection="1">
      <alignment horizontal="right" vertical="center" wrapText="1"/>
      <protection locked="0"/>
    </xf>
    <xf numFmtId="0" fontId="24" fillId="0" borderId="82" xfId="0" applyFont="1" applyFill="1" applyBorder="1" applyAlignment="1" applyProtection="1">
      <alignment horizontal="left" vertical="center" wrapText="1"/>
      <protection locked="0"/>
    </xf>
    <xf numFmtId="0" fontId="25" fillId="0" borderId="82" xfId="0" applyFont="1" applyFill="1" applyBorder="1" applyAlignment="1" applyProtection="1">
      <alignment horizontal="left" vertical="center" wrapText="1"/>
      <protection locked="0"/>
    </xf>
    <xf numFmtId="0" fontId="23" fillId="0" borderId="7" xfId="0" applyFont="1" applyFill="1" applyBorder="1" applyAlignment="1" applyProtection="1">
      <alignment vertical="center" wrapText="1"/>
    </xf>
    <xf numFmtId="164" fontId="25" fillId="0" borderId="6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 applyProtection="1">
      <alignment vertical="center"/>
    </xf>
    <xf numFmtId="0" fontId="23" fillId="0" borderId="52" xfId="0" applyFont="1" applyFill="1" applyBorder="1" applyAlignment="1" applyProtection="1">
      <alignment horizontal="center" vertical="center" wrapText="1"/>
    </xf>
    <xf numFmtId="0" fontId="65" fillId="0" borderId="0" xfId="11"/>
    <xf numFmtId="0" fontId="69" fillId="0" borderId="0" xfId="11" applyFont="1"/>
    <xf numFmtId="0" fontId="65" fillId="0" borderId="0" xfId="11" applyFill="1"/>
    <xf numFmtId="0" fontId="70" fillId="0" borderId="0" xfId="11" applyFont="1" applyFill="1"/>
    <xf numFmtId="0" fontId="70" fillId="0" borderId="0" xfId="11" applyFont="1"/>
    <xf numFmtId="0" fontId="36" fillId="0" borderId="0" xfId="11" applyFont="1" applyFill="1"/>
    <xf numFmtId="0" fontId="36" fillId="0" borderId="0" xfId="11" applyFont="1"/>
    <xf numFmtId="0" fontId="23" fillId="0" borderId="16" xfId="11" applyFont="1" applyFill="1" applyBorder="1" applyAlignment="1">
      <alignment horizontal="center" vertical="top" wrapText="1"/>
    </xf>
    <xf numFmtId="0" fontId="23" fillId="0" borderId="16" xfId="11" applyFont="1" applyFill="1" applyBorder="1" applyAlignment="1">
      <alignment horizontal="center"/>
    </xf>
    <xf numFmtId="0" fontId="23" fillId="0" borderId="16" xfId="11" applyFont="1" applyBorder="1" applyAlignment="1">
      <alignment horizontal="center"/>
    </xf>
    <xf numFmtId="0" fontId="23" fillId="0" borderId="16" xfId="11" applyFont="1" applyFill="1" applyBorder="1" applyAlignment="1">
      <alignment horizontal="center" vertical="center" wrapText="1"/>
    </xf>
    <xf numFmtId="0" fontId="23" fillId="0" borderId="16" xfId="11" applyFont="1" applyBorder="1" applyAlignment="1">
      <alignment horizontal="center" vertical="center" wrapText="1"/>
    </xf>
    <xf numFmtId="0" fontId="36" fillId="0" borderId="16" xfId="11" applyFont="1" applyFill="1" applyBorder="1" applyAlignment="1">
      <alignment horizontal="center" vertical="top" wrapText="1"/>
    </xf>
    <xf numFmtId="0" fontId="36" fillId="0" borderId="16" xfId="11" applyFont="1" applyFill="1" applyBorder="1" applyAlignment="1">
      <alignment horizontal="center"/>
    </xf>
    <xf numFmtId="0" fontId="36" fillId="0" borderId="21" xfId="11" applyFont="1" applyFill="1" applyBorder="1" applyAlignment="1">
      <alignment horizontal="center" vertical="center" wrapText="1"/>
    </xf>
    <xf numFmtId="0" fontId="36" fillId="0" borderId="16" xfId="11" applyFont="1" applyFill="1" applyBorder="1" applyAlignment="1">
      <alignment horizontal="center" vertical="center" wrapText="1"/>
    </xf>
    <xf numFmtId="0" fontId="36" fillId="0" borderId="23" xfId="11" applyFont="1" applyFill="1" applyBorder="1" applyAlignment="1">
      <alignment horizontal="center"/>
    </xf>
    <xf numFmtId="166" fontId="36" fillId="0" borderId="21" xfId="13" applyNumberFormat="1" applyFont="1" applyBorder="1"/>
    <xf numFmtId="0" fontId="36" fillId="0" borderId="29" xfId="11" applyFont="1" applyFill="1" applyBorder="1" applyAlignment="1">
      <alignment horizontal="center"/>
    </xf>
    <xf numFmtId="166" fontId="36" fillId="0" borderId="29" xfId="13" applyNumberFormat="1" applyFont="1" applyBorder="1"/>
    <xf numFmtId="0" fontId="36" fillId="0" borderId="23" xfId="12" applyFont="1" applyFill="1" applyBorder="1" applyAlignment="1">
      <alignment vertical="center" wrapText="1"/>
    </xf>
    <xf numFmtId="166" fontId="36" fillId="0" borderId="23" xfId="13" applyNumberFormat="1" applyFont="1" applyBorder="1"/>
    <xf numFmtId="0" fontId="36" fillId="0" borderId="30" xfId="11" applyFont="1" applyFill="1" applyBorder="1" applyAlignment="1">
      <alignment horizontal="center"/>
    </xf>
    <xf numFmtId="166" fontId="36" fillId="0" borderId="18" xfId="13" applyNumberFormat="1" applyFont="1" applyBorder="1"/>
    <xf numFmtId="166" fontId="36" fillId="0" borderId="16" xfId="13" applyNumberFormat="1" applyFont="1" applyBorder="1"/>
    <xf numFmtId="166" fontId="36" fillId="0" borderId="25" xfId="13" applyNumberFormat="1" applyFont="1" applyBorder="1"/>
    <xf numFmtId="0" fontId="36" fillId="0" borderId="21" xfId="12" applyFont="1" applyFill="1" applyBorder="1" applyAlignment="1">
      <alignment vertical="center" wrapText="1"/>
    </xf>
    <xf numFmtId="0" fontId="36" fillId="0" borderId="29" xfId="12" applyFont="1" applyFill="1" applyBorder="1" applyAlignment="1">
      <alignment vertical="center" wrapText="1"/>
    </xf>
    <xf numFmtId="0" fontId="36" fillId="0" borderId="18" xfId="14" applyFont="1" applyFill="1" applyBorder="1" applyAlignment="1">
      <alignment vertical="center"/>
    </xf>
    <xf numFmtId="0" fontId="36" fillId="0" borderId="16" xfId="14" applyFont="1" applyFill="1" applyBorder="1" applyAlignment="1">
      <alignment vertical="center" wrapText="1"/>
    </xf>
    <xf numFmtId="0" fontId="36" fillId="0" borderId="25" xfId="11" applyFont="1" applyFill="1" applyBorder="1" applyAlignment="1">
      <alignment vertical="center"/>
    </xf>
    <xf numFmtId="0" fontId="36" fillId="0" borderId="16" xfId="11" applyFont="1" applyFill="1" applyBorder="1" applyAlignment="1">
      <alignment vertical="center"/>
    </xf>
    <xf numFmtId="49" fontId="18" fillId="0" borderId="41" xfId="7" applyNumberFormat="1" applyFont="1" applyFill="1" applyBorder="1" applyAlignment="1" applyProtection="1">
      <alignment horizontal="center" vertical="center"/>
    </xf>
    <xf numFmtId="0" fontId="49" fillId="0" borderId="51" xfId="7" applyFont="1" applyFill="1" applyBorder="1" applyAlignment="1" applyProtection="1">
      <alignment horizontal="center" vertical="center" wrapText="1"/>
    </xf>
    <xf numFmtId="170" fontId="19" fillId="0" borderId="32" xfId="7" applyNumberFormat="1" applyFont="1" applyFill="1" applyBorder="1" applyAlignment="1" applyProtection="1">
      <alignment vertical="center"/>
      <protection locked="0"/>
    </xf>
    <xf numFmtId="170" fontId="19" fillId="0" borderId="53" xfId="7" applyNumberFormat="1" applyFont="1" applyFill="1" applyBorder="1" applyAlignment="1" applyProtection="1">
      <alignment vertical="center"/>
      <protection locked="0"/>
    </xf>
    <xf numFmtId="170" fontId="19" fillId="0" borderId="8" xfId="7" applyNumberFormat="1" applyFont="1" applyFill="1" applyBorder="1" applyAlignment="1" applyProtection="1">
      <alignment vertical="center"/>
      <protection locked="0"/>
    </xf>
    <xf numFmtId="170" fontId="18" fillId="0" borderId="8" xfId="7" applyNumberFormat="1" applyFont="1" applyFill="1" applyBorder="1" applyAlignment="1" applyProtection="1">
      <alignment vertical="center"/>
    </xf>
    <xf numFmtId="170" fontId="18" fillId="0" borderId="8" xfId="7" applyNumberFormat="1" applyFont="1" applyFill="1" applyBorder="1" applyAlignment="1" applyProtection="1">
      <alignment vertical="center"/>
      <protection locked="0"/>
    </xf>
    <xf numFmtId="170" fontId="18" fillId="0" borderId="12" xfId="7" applyNumberFormat="1" applyFont="1" applyFill="1" applyBorder="1" applyAlignment="1" applyProtection="1">
      <alignment vertical="center"/>
    </xf>
    <xf numFmtId="0" fontId="23" fillId="0" borderId="20" xfId="0" applyFont="1" applyFill="1" applyBorder="1" applyAlignment="1" applyProtection="1">
      <alignment horizontal="center" vertical="center" wrapText="1"/>
    </xf>
    <xf numFmtId="0" fontId="50" fillId="0" borderId="16" xfId="0" applyFont="1" applyFill="1" applyBorder="1" applyAlignment="1" applyProtection="1">
      <alignment horizontal="center" vertical="center" wrapText="1"/>
    </xf>
    <xf numFmtId="164" fontId="24" fillId="0" borderId="92" xfId="0" applyNumberFormat="1" applyFont="1" applyFill="1" applyBorder="1" applyAlignment="1" applyProtection="1">
      <alignment horizontal="right" vertical="center" wrapText="1"/>
      <protection locked="0"/>
    </xf>
    <xf numFmtId="164" fontId="39" fillId="0" borderId="92" xfId="0" applyNumberFormat="1" applyFont="1" applyFill="1" applyBorder="1" applyAlignment="1" applyProtection="1">
      <alignment horizontal="right" vertical="center" wrapText="1"/>
      <protection locked="0"/>
    </xf>
    <xf numFmtId="164" fontId="64" fillId="0" borderId="92" xfId="0" applyNumberFormat="1" applyFont="1" applyFill="1" applyBorder="1" applyAlignment="1" applyProtection="1">
      <alignment horizontal="right" vertical="center" wrapText="1"/>
      <protection locked="0"/>
    </xf>
    <xf numFmtId="164" fontId="25" fillId="0" borderId="92" xfId="0" applyNumberFormat="1" applyFont="1" applyFill="1" applyBorder="1" applyAlignment="1" applyProtection="1">
      <alignment horizontal="right" vertical="center" wrapText="1"/>
      <protection locked="0"/>
    </xf>
    <xf numFmtId="164" fontId="25" fillId="0" borderId="16" xfId="0" applyNumberFormat="1" applyFont="1" applyFill="1" applyBorder="1" applyAlignment="1" applyProtection="1">
      <alignment horizontal="right" vertical="center" wrapText="1"/>
    </xf>
    <xf numFmtId="0" fontId="68" fillId="0" borderId="0" xfId="11" applyFont="1" applyFill="1"/>
    <xf numFmtId="0" fontId="68" fillId="0" borderId="0" xfId="11" applyFont="1"/>
    <xf numFmtId="0" fontId="66" fillId="0" borderId="0" xfId="11" applyFont="1"/>
    <xf numFmtId="0" fontId="66" fillId="0" borderId="0" xfId="11" applyFont="1" applyAlignment="1">
      <alignment horizontal="center"/>
    </xf>
    <xf numFmtId="166" fontId="68" fillId="0" borderId="0" xfId="67" applyNumberFormat="1" applyFont="1" applyFill="1"/>
    <xf numFmtId="166" fontId="68" fillId="0" borderId="0" xfId="67" applyNumberFormat="1" applyFont="1"/>
    <xf numFmtId="0" fontId="23" fillId="0" borderId="20" xfId="11" applyFont="1" applyBorder="1" applyAlignment="1">
      <alignment horizontal="center" vertical="center" wrapText="1"/>
    </xf>
    <xf numFmtId="166" fontId="36" fillId="0" borderId="29" xfId="67" applyNumberFormat="1" applyFont="1" applyBorder="1" applyAlignment="1">
      <alignment vertical="center"/>
    </xf>
    <xf numFmtId="166" fontId="36" fillId="0" borderId="63" xfId="67" applyNumberFormat="1" applyFont="1" applyBorder="1" applyAlignment="1">
      <alignment vertical="center"/>
    </xf>
    <xf numFmtId="166" fontId="36" fillId="0" borderId="25" xfId="67" applyNumberFormat="1" applyFont="1" applyBorder="1" applyAlignment="1">
      <alignment vertical="center"/>
    </xf>
    <xf numFmtId="166" fontId="36" fillId="0" borderId="20" xfId="67" applyNumberFormat="1" applyFont="1" applyBorder="1" applyAlignment="1">
      <alignment vertical="center"/>
    </xf>
    <xf numFmtId="0" fontId="36" fillId="0" borderId="19" xfId="11" applyFont="1" applyBorder="1" applyAlignment="1">
      <alignment vertical="center"/>
    </xf>
    <xf numFmtId="0" fontId="36" fillId="0" borderId="21" xfId="11" applyFont="1" applyBorder="1" applyAlignment="1">
      <alignment vertical="center"/>
    </xf>
    <xf numFmtId="166" fontId="36" fillId="0" borderId="23" xfId="67" applyNumberFormat="1" applyFont="1" applyBorder="1" applyAlignment="1">
      <alignment vertical="center"/>
    </xf>
    <xf numFmtId="3" fontId="36" fillId="0" borderId="22" xfId="11" applyNumberFormat="1" applyFont="1" applyBorder="1" applyAlignment="1">
      <alignment vertical="center"/>
    </xf>
    <xf numFmtId="3" fontId="36" fillId="0" borderId="23" xfId="11" applyNumberFormat="1" applyFont="1" applyBorder="1" applyAlignment="1">
      <alignment vertical="center"/>
    </xf>
    <xf numFmtId="0" fontId="36" fillId="0" borderId="22" xfId="11" applyFont="1" applyBorder="1" applyAlignment="1">
      <alignment vertical="center"/>
    </xf>
    <xf numFmtId="0" fontId="36" fillId="0" borderId="23" xfId="11" applyFont="1" applyBorder="1" applyAlignment="1">
      <alignment vertical="center"/>
    </xf>
    <xf numFmtId="166" fontId="23" fillId="0" borderId="30" xfId="67" applyNumberFormat="1" applyFont="1" applyBorder="1" applyAlignment="1">
      <alignment vertical="center"/>
    </xf>
    <xf numFmtId="166" fontId="23" fillId="0" borderId="23" xfId="67" applyNumberFormat="1" applyFont="1" applyBorder="1" applyAlignment="1">
      <alignment vertical="center"/>
    </xf>
    <xf numFmtId="0" fontId="36" fillId="0" borderId="66" xfId="11" applyFont="1" applyBorder="1" applyAlignment="1">
      <alignment vertical="center"/>
    </xf>
    <xf numFmtId="0" fontId="36" fillId="0" borderId="30" xfId="11" applyFont="1" applyBorder="1" applyAlignment="1">
      <alignment vertical="center"/>
    </xf>
    <xf numFmtId="166" fontId="23" fillId="0" borderId="16" xfId="67" applyNumberFormat="1" applyFont="1" applyBorder="1" applyAlignment="1">
      <alignment vertical="center"/>
    </xf>
    <xf numFmtId="0" fontId="36" fillId="0" borderId="16" xfId="11" applyFont="1" applyBorder="1" applyAlignment="1">
      <alignment vertical="center"/>
    </xf>
    <xf numFmtId="166" fontId="23" fillId="0" borderId="25" xfId="67" applyNumberFormat="1" applyFont="1" applyBorder="1" applyAlignment="1">
      <alignment vertical="center"/>
    </xf>
    <xf numFmtId="166" fontId="23" fillId="0" borderId="29" xfId="67" applyNumberFormat="1" applyFont="1" applyBorder="1" applyAlignment="1">
      <alignment vertical="center"/>
    </xf>
    <xf numFmtId="166" fontId="23" fillId="0" borderId="63" xfId="67" applyNumberFormat="1" applyFont="1" applyBorder="1" applyAlignment="1">
      <alignment vertical="center"/>
    </xf>
    <xf numFmtId="0" fontId="21" fillId="0" borderId="0" xfId="6" applyFont="1" applyFill="1" applyAlignment="1" applyProtection="1">
      <alignment horizontal="center"/>
    </xf>
    <xf numFmtId="164" fontId="7" fillId="0" borderId="0" xfId="6" applyNumberFormat="1" applyFont="1" applyFill="1" applyBorder="1" applyAlignment="1" applyProtection="1">
      <alignment horizontal="center" vertical="center"/>
    </xf>
    <xf numFmtId="0" fontId="8" fillId="0" borderId="42" xfId="6" applyFont="1" applyFill="1" applyBorder="1" applyAlignment="1" applyProtection="1">
      <alignment horizontal="center" vertical="center" wrapText="1"/>
    </xf>
    <xf numFmtId="0" fontId="8" fillId="0" borderId="46" xfId="6" applyFont="1" applyFill="1" applyBorder="1" applyAlignment="1" applyProtection="1">
      <alignment horizontal="center" vertical="center" wrapText="1"/>
    </xf>
    <xf numFmtId="0" fontId="8" fillId="0" borderId="32" xfId="6" applyFont="1" applyFill="1" applyBorder="1" applyAlignment="1" applyProtection="1">
      <alignment horizontal="center" vertical="center" wrapText="1"/>
    </xf>
    <xf numFmtId="0" fontId="8" fillId="0" borderId="11" xfId="6" applyFont="1" applyFill="1" applyBorder="1" applyAlignment="1" applyProtection="1">
      <alignment horizontal="center" vertical="center" wrapText="1"/>
    </xf>
    <xf numFmtId="164" fontId="28" fillId="0" borderId="32" xfId="6" applyNumberFormat="1" applyFont="1" applyFill="1" applyBorder="1" applyAlignment="1" applyProtection="1">
      <alignment horizontal="center" vertical="center"/>
    </xf>
    <xf numFmtId="164" fontId="28" fillId="0" borderId="53" xfId="6" applyNumberFormat="1" applyFont="1" applyFill="1" applyBorder="1" applyAlignment="1" applyProtection="1">
      <alignment horizontal="center" vertical="center"/>
    </xf>
    <xf numFmtId="164" fontId="28" fillId="0" borderId="20" xfId="0" applyNumberFormat="1" applyFont="1" applyFill="1" applyBorder="1" applyAlignment="1" applyProtection="1">
      <alignment horizontal="center" vertical="center" wrapText="1"/>
    </xf>
    <xf numFmtId="164" fontId="28" fillId="0" borderId="18" xfId="0" applyNumberFormat="1" applyFont="1" applyFill="1" applyBorder="1" applyAlignment="1" applyProtection="1">
      <alignment horizontal="center" vertical="center" wrapText="1"/>
    </xf>
    <xf numFmtId="164" fontId="16" fillId="0" borderId="0" xfId="0" applyNumberFormat="1" applyFont="1" applyFill="1" applyAlignment="1" applyProtection="1">
      <alignment horizontal="center" textRotation="180" wrapText="1"/>
    </xf>
    <xf numFmtId="164" fontId="28" fillId="0" borderId="21" xfId="0" applyNumberFormat="1" applyFont="1" applyFill="1" applyBorder="1" applyAlignment="1" applyProtection="1">
      <alignment horizontal="center" vertical="center" wrapText="1"/>
    </xf>
    <xf numFmtId="164" fontId="28" fillId="0" borderId="30" xfId="0" applyNumberFormat="1" applyFont="1" applyFill="1" applyBorder="1" applyAlignment="1" applyProtection="1">
      <alignment horizontal="center" vertical="center" wrapText="1"/>
    </xf>
    <xf numFmtId="164" fontId="16" fillId="0" borderId="0" xfId="0" applyNumberFormat="1" applyFont="1" applyFill="1" applyAlignment="1" applyProtection="1">
      <alignment horizontal="center" textRotation="180" wrapText="1"/>
      <protection locked="0"/>
    </xf>
    <xf numFmtId="164" fontId="6" fillId="0" borderId="10" xfId="0" applyNumberFormat="1" applyFont="1" applyFill="1" applyBorder="1" applyAlignment="1" applyProtection="1">
      <alignment horizontal="right" wrapText="1"/>
    </xf>
    <xf numFmtId="164" fontId="21" fillId="0" borderId="0" xfId="0" applyNumberFormat="1" applyFont="1" applyFill="1" applyAlignment="1">
      <alignment horizontal="center" vertical="center" wrapText="1"/>
    </xf>
    <xf numFmtId="0" fontId="16" fillId="0" borderId="0" xfId="0" applyNumberFormat="1" applyFont="1" applyFill="1" applyAlignment="1" applyProtection="1">
      <alignment horizontal="center" textRotation="180" wrapText="1"/>
      <protection locked="0"/>
    </xf>
    <xf numFmtId="164" fontId="16" fillId="0" borderId="0" xfId="0" applyNumberFormat="1" applyFont="1" applyFill="1" applyAlignment="1">
      <alignment horizontal="center" textRotation="180" wrapText="1"/>
    </xf>
    <xf numFmtId="164" fontId="21" fillId="0" borderId="0" xfId="0" applyNumberFormat="1" applyFont="1" applyFill="1" applyAlignment="1">
      <alignment horizontal="left" vertical="center" wrapText="1"/>
    </xf>
    <xf numFmtId="164" fontId="18" fillId="0" borderId="16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textRotation="180"/>
    </xf>
    <xf numFmtId="164" fontId="0" fillId="0" borderId="19" xfId="0" applyNumberFormat="1" applyFill="1" applyBorder="1" applyAlignment="1" applyProtection="1">
      <alignment horizontal="left" vertical="center" wrapText="1"/>
      <protection locked="0"/>
    </xf>
    <xf numFmtId="164" fontId="0" fillId="0" borderId="39" xfId="0" applyNumberFormat="1" applyFill="1" applyBorder="1" applyAlignment="1" applyProtection="1">
      <alignment horizontal="left" vertical="center" wrapText="1"/>
      <protection locked="0"/>
    </xf>
    <xf numFmtId="164" fontId="0" fillId="0" borderId="66" xfId="0" applyNumberFormat="1" applyFill="1" applyBorder="1" applyAlignment="1" applyProtection="1">
      <alignment horizontal="left" vertical="center" wrapText="1"/>
      <protection locked="0"/>
    </xf>
    <xf numFmtId="164" fontId="0" fillId="0" borderId="73" xfId="0" applyNumberFormat="1" applyFill="1" applyBorder="1" applyAlignment="1" applyProtection="1">
      <alignment horizontal="left" vertical="center" wrapText="1"/>
      <protection locked="0"/>
    </xf>
    <xf numFmtId="164" fontId="8" fillId="0" borderId="20" xfId="0" applyNumberFormat="1" applyFont="1" applyFill="1" applyBorder="1" applyAlignment="1">
      <alignment horizontal="center" vertical="center" wrapText="1"/>
    </xf>
    <xf numFmtId="164" fontId="8" fillId="0" borderId="63" xfId="0" applyNumberFormat="1" applyFont="1" applyFill="1" applyBorder="1" applyAlignment="1">
      <alignment horizontal="center" vertical="center" wrapText="1"/>
    </xf>
    <xf numFmtId="164" fontId="29" fillId="0" borderId="26" xfId="0" applyNumberFormat="1" applyFont="1" applyFill="1" applyBorder="1" applyAlignment="1">
      <alignment horizontal="center" vertical="center" wrapText="1"/>
    </xf>
    <xf numFmtId="164" fontId="29" fillId="0" borderId="74" xfId="0" applyNumberFormat="1" applyFont="1" applyFill="1" applyBorder="1" applyAlignment="1">
      <alignment horizontal="center" vertical="center" wrapText="1"/>
    </xf>
    <xf numFmtId="164" fontId="8" fillId="0" borderId="16" xfId="0" applyNumberFormat="1" applyFont="1" applyFill="1" applyBorder="1" applyAlignment="1">
      <alignment horizontal="center" vertical="center" wrapText="1"/>
    </xf>
    <xf numFmtId="164" fontId="0" fillId="0" borderId="0" xfId="0" applyNumberFormat="1" applyFill="1" applyAlignment="1" applyProtection="1">
      <alignment horizontal="left" vertical="center" wrapText="1"/>
      <protection locked="0"/>
    </xf>
    <xf numFmtId="167" fontId="40" fillId="0" borderId="27" xfId="0" applyNumberFormat="1" applyFont="1" applyFill="1" applyBorder="1" applyAlignment="1">
      <alignment horizontal="left" vertical="center" wrapText="1"/>
    </xf>
    <xf numFmtId="164" fontId="6" fillId="0" borderId="10" xfId="0" applyNumberFormat="1" applyFont="1" applyFill="1" applyBorder="1" applyAlignment="1">
      <alignment horizontal="right" vertical="center"/>
    </xf>
    <xf numFmtId="164" fontId="28" fillId="0" borderId="16" xfId="0" applyNumberFormat="1" applyFont="1" applyFill="1" applyBorder="1" applyAlignment="1">
      <alignment horizontal="center" vertical="center" wrapText="1"/>
    </xf>
    <xf numFmtId="164" fontId="29" fillId="0" borderId="26" xfId="0" applyNumberFormat="1" applyFont="1" applyFill="1" applyBorder="1" applyAlignment="1">
      <alignment horizontal="left" vertical="center" wrapText="1" indent="2"/>
    </xf>
    <xf numFmtId="164" fontId="29" fillId="0" borderId="74" xfId="0" applyNumberFormat="1" applyFont="1" applyFill="1" applyBorder="1" applyAlignment="1">
      <alignment horizontal="left" vertical="center" wrapText="1" indent="2"/>
    </xf>
    <xf numFmtId="164" fontId="18" fillId="0" borderId="16" xfId="0" applyNumberFormat="1" applyFont="1" applyFill="1" applyBorder="1" applyAlignment="1">
      <alignment horizontal="center" vertical="center"/>
    </xf>
    <xf numFmtId="167" fontId="7" fillId="0" borderId="0" xfId="0" applyNumberFormat="1" applyFont="1" applyFill="1" applyBorder="1" applyAlignment="1">
      <alignment horizontal="center" vertical="center" wrapText="1"/>
    </xf>
    <xf numFmtId="164" fontId="8" fillId="0" borderId="72" xfId="0" applyNumberFormat="1" applyFont="1" applyFill="1" applyBorder="1" applyAlignment="1">
      <alignment horizontal="center" vertical="center"/>
    </xf>
    <xf numFmtId="164" fontId="8" fillId="0" borderId="62" xfId="0" applyNumberFormat="1" applyFont="1" applyFill="1" applyBorder="1" applyAlignment="1">
      <alignment horizontal="center" vertical="center"/>
    </xf>
    <xf numFmtId="164" fontId="8" fillId="0" borderId="17" xfId="0" applyNumberFormat="1" applyFont="1" applyFill="1" applyBorder="1" applyAlignment="1">
      <alignment horizontal="center" vertical="center"/>
    </xf>
    <xf numFmtId="0" fontId="8" fillId="0" borderId="26" xfId="0" applyFont="1" applyFill="1" applyBorder="1" applyAlignment="1" applyProtection="1">
      <alignment horizontal="center" vertical="center" wrapText="1"/>
    </xf>
    <xf numFmtId="0" fontId="8" fillId="0" borderId="74" xfId="0" applyFont="1" applyFill="1" applyBorder="1" applyAlignment="1" applyProtection="1">
      <alignment horizontal="center" vertical="center" wrapText="1"/>
    </xf>
    <xf numFmtId="0" fontId="8" fillId="0" borderId="34" xfId="0" applyFont="1" applyFill="1" applyBorder="1" applyAlignment="1" applyProtection="1">
      <alignment horizontal="center" vertical="center" wrapText="1"/>
    </xf>
    <xf numFmtId="0" fontId="8" fillId="0" borderId="38" xfId="0" applyFont="1" applyFill="1" applyBorder="1" applyAlignment="1" applyProtection="1">
      <alignment horizontal="center" vertical="center"/>
      <protection locked="0"/>
    </xf>
    <xf numFmtId="0" fontId="8" fillId="0" borderId="39" xfId="0" applyFont="1" applyFill="1" applyBorder="1" applyAlignment="1" applyProtection="1">
      <alignment horizontal="center" vertical="center"/>
      <protection locked="0"/>
    </xf>
    <xf numFmtId="0" fontId="8" fillId="0" borderId="40" xfId="0" applyFont="1" applyFill="1" applyBorder="1" applyAlignment="1" applyProtection="1">
      <alignment horizontal="center" vertical="center"/>
      <protection locked="0"/>
    </xf>
    <xf numFmtId="0" fontId="8" fillId="0" borderId="41" xfId="0" applyFont="1" applyFill="1" applyBorder="1" applyAlignment="1" applyProtection="1">
      <alignment horizontal="center" vertical="center"/>
    </xf>
    <xf numFmtId="0" fontId="8" fillId="0" borderId="73" xfId="0" applyFont="1" applyFill="1" applyBorder="1" applyAlignment="1" applyProtection="1">
      <alignment horizontal="center" vertical="center"/>
    </xf>
    <xf numFmtId="0" fontId="8" fillId="0" borderId="56" xfId="0" applyFont="1" applyFill="1" applyBorder="1" applyAlignment="1" applyProtection="1">
      <alignment horizontal="center" vertical="center"/>
    </xf>
    <xf numFmtId="0" fontId="8" fillId="0" borderId="73" xfId="0" quotePrefix="1" applyFont="1" applyFill="1" applyBorder="1" applyAlignment="1" applyProtection="1">
      <alignment horizontal="center" vertical="center"/>
    </xf>
    <xf numFmtId="0" fontId="8" fillId="0" borderId="56" xfId="0" quotePrefix="1" applyFont="1" applyFill="1" applyBorder="1" applyAlignment="1" applyProtection="1">
      <alignment horizontal="center" vertical="center"/>
    </xf>
    <xf numFmtId="0" fontId="8" fillId="0" borderId="26" xfId="0" applyFont="1" applyFill="1" applyBorder="1" applyAlignment="1" applyProtection="1">
      <alignment horizontal="left" vertical="center" wrapText="1" indent="1"/>
    </xf>
    <xf numFmtId="0" fontId="8" fillId="0" borderId="35" xfId="0" applyFont="1" applyFill="1" applyBorder="1" applyAlignment="1" applyProtection="1">
      <alignment horizontal="left" vertical="center" wrapText="1" indent="1"/>
    </xf>
    <xf numFmtId="0" fontId="8" fillId="0" borderId="50" xfId="0" applyFont="1" applyFill="1" applyBorder="1" applyAlignment="1" applyProtection="1">
      <alignment horizontal="center" vertical="center" wrapText="1"/>
    </xf>
    <xf numFmtId="0" fontId="8" fillId="0" borderId="61" xfId="0" applyFont="1" applyFill="1" applyBorder="1" applyAlignment="1" applyProtection="1">
      <alignment horizontal="center" vertical="center" wrapText="1"/>
    </xf>
    <xf numFmtId="0" fontId="8" fillId="0" borderId="51" xfId="0" applyFont="1" applyFill="1" applyBorder="1" applyAlignment="1" applyProtection="1">
      <alignment horizontal="center" vertical="center" wrapText="1"/>
    </xf>
    <xf numFmtId="0" fontId="8" fillId="0" borderId="57" xfId="0" applyFont="1" applyFill="1" applyBorder="1" applyAlignment="1" applyProtection="1">
      <alignment horizontal="center" vertical="center" wrapText="1"/>
    </xf>
    <xf numFmtId="0" fontId="28" fillId="0" borderId="45" xfId="0" applyFont="1" applyFill="1" applyBorder="1" applyAlignment="1" applyProtection="1">
      <alignment horizontal="center" vertical="center" wrapText="1"/>
    </xf>
    <xf numFmtId="0" fontId="28" fillId="0" borderId="34" xfId="0" applyFont="1" applyFill="1" applyBorder="1" applyAlignment="1" applyProtection="1">
      <alignment horizontal="center" vertical="center" wrapText="1"/>
    </xf>
    <xf numFmtId="0" fontId="46" fillId="0" borderId="0" xfId="11" applyFont="1" applyFill="1" applyAlignment="1">
      <alignment horizontal="center"/>
    </xf>
    <xf numFmtId="0" fontId="92" fillId="0" borderId="0" xfId="11" applyFont="1" applyFill="1" applyAlignment="1">
      <alignment horizontal="center"/>
    </xf>
    <xf numFmtId="0" fontId="42" fillId="0" borderId="0" xfId="8" applyFont="1" applyFill="1" applyAlignment="1" applyProtection="1">
      <alignment horizontal="left"/>
    </xf>
    <xf numFmtId="0" fontId="46" fillId="0" borderId="0" xfId="8" applyFont="1" applyFill="1" applyAlignment="1" applyProtection="1">
      <alignment horizontal="center" vertical="center" wrapText="1"/>
    </xf>
    <xf numFmtId="0" fontId="46" fillId="0" borderId="0" xfId="8" applyFont="1" applyFill="1" applyAlignment="1" applyProtection="1">
      <alignment horizontal="center" vertical="center"/>
    </xf>
    <xf numFmtId="0" fontId="47" fillId="0" borderId="0" xfId="8" applyFont="1" applyFill="1" applyBorder="1" applyAlignment="1" applyProtection="1">
      <alignment horizontal="right"/>
    </xf>
    <xf numFmtId="0" fontId="48" fillId="0" borderId="50" xfId="8" applyFont="1" applyFill="1" applyBorder="1" applyAlignment="1" applyProtection="1">
      <alignment horizontal="center" vertical="center" wrapText="1"/>
    </xf>
    <xf numFmtId="0" fontId="48" fillId="0" borderId="43" xfId="8" applyFont="1" applyFill="1" applyBorder="1" applyAlignment="1" applyProtection="1">
      <alignment horizontal="center" vertical="center" wrapText="1"/>
    </xf>
    <xf numFmtId="0" fontId="48" fillId="0" borderId="28" xfId="8" applyFont="1" applyFill="1" applyBorder="1" applyAlignment="1" applyProtection="1">
      <alignment horizontal="center" vertical="center" wrapText="1"/>
    </xf>
    <xf numFmtId="0" fontId="49" fillId="0" borderId="51" xfId="7" applyFont="1" applyFill="1" applyBorder="1" applyAlignment="1" applyProtection="1">
      <alignment horizontal="center" vertical="center" textRotation="90"/>
    </xf>
    <xf numFmtId="0" fontId="49" fillId="0" borderId="9" xfId="7" applyFont="1" applyFill="1" applyBorder="1" applyAlignment="1" applyProtection="1">
      <alignment horizontal="center" vertical="center" textRotation="90"/>
    </xf>
    <xf numFmtId="0" fontId="49" fillId="0" borderId="33" xfId="7" applyFont="1" applyFill="1" applyBorder="1" applyAlignment="1" applyProtection="1">
      <alignment horizontal="center" vertical="center" textRotation="90"/>
    </xf>
    <xf numFmtId="0" fontId="47" fillId="0" borderId="32" xfId="8" applyFont="1" applyFill="1" applyBorder="1" applyAlignment="1" applyProtection="1">
      <alignment horizontal="center" vertical="center" wrapText="1"/>
    </xf>
    <xf numFmtId="0" fontId="47" fillId="0" borderId="1" xfId="8" applyFont="1" applyFill="1" applyBorder="1" applyAlignment="1" applyProtection="1">
      <alignment horizontal="center" vertical="center" wrapText="1"/>
    </xf>
    <xf numFmtId="0" fontId="47" fillId="0" borderId="52" xfId="8" applyFont="1" applyFill="1" applyBorder="1" applyAlignment="1" applyProtection="1">
      <alignment horizontal="center" vertical="center" wrapText="1"/>
    </xf>
    <xf numFmtId="0" fontId="47" fillId="0" borderId="48" xfId="8" applyFont="1" applyFill="1" applyBorder="1" applyAlignment="1" applyProtection="1">
      <alignment horizontal="center" vertical="center" wrapText="1"/>
    </xf>
    <xf numFmtId="14" fontId="49" fillId="0" borderId="51" xfId="7" applyNumberFormat="1" applyFont="1" applyFill="1" applyBorder="1" applyAlignment="1" applyProtection="1">
      <alignment horizontal="center" vertical="center" wrapText="1"/>
    </xf>
    <xf numFmtId="0" fontId="49" fillId="0" borderId="33" xfId="7" applyFont="1" applyFill="1" applyBorder="1" applyAlignment="1" applyProtection="1">
      <alignment horizontal="center" vertical="center" wrapText="1"/>
    </xf>
    <xf numFmtId="0" fontId="47" fillId="0" borderId="14" xfId="8" applyFont="1" applyFill="1" applyBorder="1" applyAlignment="1" applyProtection="1">
      <alignment horizontal="center" wrapText="1"/>
    </xf>
    <xf numFmtId="0" fontId="47" fillId="0" borderId="76" xfId="8" applyFont="1" applyFill="1" applyBorder="1" applyAlignment="1" applyProtection="1">
      <alignment horizontal="center" wrapText="1"/>
    </xf>
    <xf numFmtId="0" fontId="47" fillId="0" borderId="36" xfId="8" applyFont="1" applyFill="1" applyBorder="1" applyAlignment="1" applyProtection="1">
      <alignment horizontal="center" wrapText="1"/>
    </xf>
    <xf numFmtId="0" fontId="32" fillId="0" borderId="0" xfId="7" applyFont="1" applyFill="1" applyBorder="1" applyAlignment="1" applyProtection="1">
      <alignment horizontal="right" vertical="center"/>
    </xf>
    <xf numFmtId="0" fontId="29" fillId="0" borderId="0" xfId="7" applyFont="1" applyFill="1" applyAlignment="1" applyProtection="1">
      <alignment horizontal="center" vertical="center" wrapText="1"/>
    </xf>
    <xf numFmtId="0" fontId="21" fillId="0" borderId="0" xfId="7" applyFont="1" applyFill="1" applyAlignment="1" applyProtection="1">
      <alignment horizontal="center" vertical="center" wrapText="1"/>
    </xf>
    <xf numFmtId="0" fontId="47" fillId="0" borderId="14" xfId="8" applyFont="1" applyFill="1" applyBorder="1" applyAlignment="1" applyProtection="1">
      <alignment horizontal="center" vertical="center" wrapText="1"/>
    </xf>
    <xf numFmtId="0" fontId="47" fillId="0" borderId="76" xfId="8" applyFont="1" applyFill="1" applyBorder="1" applyAlignment="1" applyProtection="1">
      <alignment horizontal="center" vertical="center" wrapText="1"/>
    </xf>
    <xf numFmtId="0" fontId="47" fillId="0" borderId="36" xfId="8" applyFont="1" applyFill="1" applyBorder="1" applyAlignment="1" applyProtection="1">
      <alignment horizontal="center" vertical="center" wrapText="1"/>
    </xf>
    <xf numFmtId="0" fontId="42" fillId="0" borderId="0" xfId="8" applyFont="1" applyFill="1" applyAlignment="1" applyProtection="1">
      <alignment horizontal="center"/>
    </xf>
    <xf numFmtId="0" fontId="21" fillId="0" borderId="42" xfId="7" applyFont="1" applyFill="1" applyBorder="1" applyAlignment="1" applyProtection="1">
      <alignment horizontal="center" vertical="center" wrapText="1"/>
    </xf>
    <xf numFmtId="0" fontId="21" fillId="0" borderId="3" xfId="7" applyFont="1" applyFill="1" applyBorder="1" applyAlignment="1" applyProtection="1">
      <alignment horizontal="center" vertical="center" wrapText="1"/>
    </xf>
    <xf numFmtId="0" fontId="49" fillId="0" borderId="32" xfId="7" applyFont="1" applyFill="1" applyBorder="1" applyAlignment="1" applyProtection="1">
      <alignment horizontal="center" vertical="center" textRotation="90"/>
    </xf>
    <xf numFmtId="0" fontId="49" fillId="0" borderId="1" xfId="7" applyFont="1" applyFill="1" applyBorder="1" applyAlignment="1" applyProtection="1">
      <alignment horizontal="center" vertical="center" textRotation="90"/>
    </xf>
    <xf numFmtId="0" fontId="46" fillId="0" borderId="0" xfId="8" applyFont="1" applyFill="1" applyAlignment="1">
      <alignment horizontal="center" vertical="center" wrapText="1"/>
    </xf>
    <xf numFmtId="0" fontId="46" fillId="0" borderId="0" xfId="8" applyFont="1" applyFill="1" applyAlignment="1">
      <alignment horizontal="center" vertical="center"/>
    </xf>
    <xf numFmtId="0" fontId="23" fillId="0" borderId="26" xfId="8" applyFont="1" applyFill="1" applyBorder="1" applyAlignment="1">
      <alignment horizontal="left"/>
    </xf>
    <xf numFmtId="0" fontId="23" fillId="0" borderId="35" xfId="8" applyFont="1" applyFill="1" applyBorder="1" applyAlignment="1">
      <alignment horizontal="left"/>
    </xf>
    <xf numFmtId="3" fontId="42" fillId="0" borderId="0" xfId="8" applyNumberFormat="1" applyFont="1" applyFill="1" applyAlignment="1">
      <alignment horizontal="center"/>
    </xf>
    <xf numFmtId="0" fontId="46" fillId="0" borderId="0" xfId="8" applyFont="1" applyFill="1" applyAlignment="1">
      <alignment horizontal="center" wrapText="1"/>
    </xf>
    <xf numFmtId="0" fontId="46" fillId="0" borderId="0" xfId="8" applyFont="1" applyFill="1" applyAlignment="1">
      <alignment horizontal="center"/>
    </xf>
    <xf numFmtId="0" fontId="23" fillId="0" borderId="26" xfId="8" applyFont="1" applyFill="1" applyBorder="1" applyAlignment="1">
      <alignment horizontal="left" indent="1"/>
    </xf>
    <xf numFmtId="0" fontId="23" fillId="0" borderId="35" xfId="8" applyFont="1" applyFill="1" applyBorder="1" applyAlignment="1">
      <alignment horizontal="left" indent="1"/>
    </xf>
    <xf numFmtId="0" fontId="46" fillId="0" borderId="0" xfId="0" applyFont="1" applyFill="1" applyBorder="1" applyAlignment="1" applyProtection="1">
      <alignment horizontal="center" vertical="center"/>
    </xf>
    <xf numFmtId="0" fontId="8" fillId="0" borderId="51" xfId="6" applyFont="1" applyFill="1" applyBorder="1" applyAlignment="1" applyProtection="1">
      <alignment horizontal="center" vertical="center" wrapText="1"/>
    </xf>
    <xf numFmtId="0" fontId="8" fillId="0" borderId="57" xfId="6" applyFont="1" applyFill="1" applyBorder="1" applyAlignment="1" applyProtection="1">
      <alignment horizontal="center" vertical="center" wrapText="1"/>
    </xf>
    <xf numFmtId="164" fontId="8" fillId="0" borderId="50" xfId="0" applyNumberFormat="1" applyFont="1" applyFill="1" applyBorder="1" applyAlignment="1" applyProtection="1">
      <alignment horizontal="center" vertical="center" wrapText="1"/>
    </xf>
    <xf numFmtId="164" fontId="8" fillId="0" borderId="61" xfId="0" applyNumberFormat="1" applyFont="1" applyFill="1" applyBorder="1" applyAlignment="1" applyProtection="1">
      <alignment horizontal="center" vertical="center" wrapText="1"/>
    </xf>
    <xf numFmtId="164" fontId="8" fillId="0" borderId="51" xfId="0" applyNumberFormat="1" applyFont="1" applyFill="1" applyBorder="1" applyAlignment="1" applyProtection="1">
      <alignment horizontal="center" vertical="center" wrapText="1"/>
    </xf>
    <xf numFmtId="164" fontId="8" fillId="0" borderId="57" xfId="0" applyNumberFormat="1" applyFont="1" applyFill="1" applyBorder="1" applyAlignment="1" applyProtection="1">
      <alignment horizontal="center" vertical="center"/>
    </xf>
    <xf numFmtId="164" fontId="8" fillId="0" borderId="57" xfId="0" applyNumberFormat="1" applyFont="1" applyFill="1" applyBorder="1" applyAlignment="1" applyProtection="1">
      <alignment horizontal="center" vertical="center" wrapText="1"/>
    </xf>
    <xf numFmtId="164" fontId="8" fillId="0" borderId="20" xfId="0" applyNumberFormat="1" applyFont="1" applyFill="1" applyBorder="1" applyAlignment="1" applyProtection="1">
      <alignment horizontal="center" vertical="center" wrapText="1"/>
    </xf>
    <xf numFmtId="164" fontId="8" fillId="0" borderId="18" xfId="0" applyNumberFormat="1" applyFont="1" applyFill="1" applyBorder="1" applyAlignment="1" applyProtection="1">
      <alignment horizontal="center" vertical="center" wrapText="1"/>
    </xf>
    <xf numFmtId="164" fontId="10" fillId="0" borderId="0" xfId="0" applyNumberFormat="1" applyFont="1" applyFill="1" applyAlignment="1">
      <alignment horizontal="center" textRotation="180" wrapText="1"/>
    </xf>
    <xf numFmtId="164" fontId="8" fillId="0" borderId="58" xfId="0" applyNumberFormat="1" applyFont="1" applyFill="1" applyBorder="1" applyAlignment="1">
      <alignment horizontal="center" vertical="center" wrapText="1"/>
    </xf>
    <xf numFmtId="164" fontId="8" fillId="0" borderId="65" xfId="0" applyNumberFormat="1" applyFont="1" applyFill="1" applyBorder="1" applyAlignment="1">
      <alignment horizontal="center" vertical="center" wrapText="1"/>
    </xf>
    <xf numFmtId="164" fontId="8" fillId="0" borderId="18" xfId="0" applyNumberFormat="1" applyFont="1" applyFill="1" applyBorder="1" applyAlignment="1">
      <alignment horizontal="center" vertical="center" wrapText="1"/>
    </xf>
    <xf numFmtId="164" fontId="8" fillId="0" borderId="20" xfId="0" applyNumberFormat="1" applyFont="1" applyFill="1" applyBorder="1" applyAlignment="1">
      <alignment horizontal="center" vertical="center"/>
    </xf>
    <xf numFmtId="164" fontId="8" fillId="0" borderId="18" xfId="0" applyNumberFormat="1" applyFont="1" applyFill="1" applyBorder="1" applyAlignment="1">
      <alignment horizontal="center" vertical="center"/>
    </xf>
    <xf numFmtId="164" fontId="8" fillId="0" borderId="72" xfId="0" applyNumberFormat="1" applyFont="1" applyFill="1" applyBorder="1" applyAlignment="1">
      <alignment horizontal="center" vertical="center" wrapText="1"/>
    </xf>
    <xf numFmtId="164" fontId="8" fillId="0" borderId="17" xfId="0" applyNumberFormat="1" applyFont="1" applyFill="1" applyBorder="1" applyAlignment="1">
      <alignment horizontal="center" vertical="center" wrapText="1"/>
    </xf>
    <xf numFmtId="164" fontId="8" fillId="0" borderId="38" xfId="0" applyNumberFormat="1" applyFont="1" applyFill="1" applyBorder="1" applyAlignment="1">
      <alignment horizontal="center" vertical="center" wrapText="1"/>
    </xf>
    <xf numFmtId="164" fontId="8" fillId="0" borderId="68" xfId="0" applyNumberFormat="1" applyFont="1" applyFill="1" applyBorder="1" applyAlignment="1">
      <alignment horizontal="center" vertical="center" wrapText="1"/>
    </xf>
    <xf numFmtId="0" fontId="8" fillId="0" borderId="72" xfId="0" applyFont="1" applyFill="1" applyBorder="1" applyAlignment="1" applyProtection="1">
      <alignment horizontal="left" vertical="center" wrapText="1"/>
    </xf>
    <xf numFmtId="0" fontId="8" fillId="0" borderId="27" xfId="0" applyFont="1" applyFill="1" applyBorder="1" applyAlignment="1" applyProtection="1">
      <alignment horizontal="left" vertical="center" wrapText="1"/>
    </xf>
    <xf numFmtId="0" fontId="8" fillId="0" borderId="58" xfId="0" applyFont="1" applyFill="1" applyBorder="1" applyAlignment="1" applyProtection="1">
      <alignment horizontal="left" vertical="center" wrapText="1"/>
    </xf>
    <xf numFmtId="0" fontId="26" fillId="0" borderId="26" xfId="0" applyFont="1" applyFill="1" applyBorder="1" applyAlignment="1" applyProtection="1">
      <alignment horizontal="left" vertical="center"/>
    </xf>
    <xf numFmtId="0" fontId="26" fillId="0" borderId="35" xfId="0" applyFont="1" applyFill="1" applyBorder="1" applyAlignment="1" applyProtection="1">
      <alignment horizontal="left" vertical="center"/>
    </xf>
    <xf numFmtId="0" fontId="29" fillId="0" borderId="26" xfId="0" applyFont="1" applyFill="1" applyBorder="1" applyAlignment="1" applyProtection="1">
      <alignment horizontal="left" vertical="center"/>
    </xf>
    <xf numFmtId="0" fontId="29" fillId="0" borderId="35" xfId="0" applyFont="1" applyFill="1" applyBorder="1" applyAlignment="1" applyProtection="1">
      <alignment horizontal="left" vertical="center"/>
    </xf>
    <xf numFmtId="0" fontId="21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44" fillId="0" borderId="10" xfId="0" applyFont="1" applyFill="1" applyBorder="1" applyAlignment="1">
      <alignment horizontal="right"/>
    </xf>
    <xf numFmtId="0" fontId="8" fillId="0" borderId="72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 vertical="center" wrapText="1"/>
    </xf>
    <xf numFmtId="0" fontId="8" fillId="0" borderId="57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28" fillId="0" borderId="45" xfId="0" applyFont="1" applyFill="1" applyBorder="1" applyAlignment="1">
      <alignment horizontal="center"/>
    </xf>
    <xf numFmtId="0" fontId="28" fillId="0" borderId="74" xfId="0" applyFont="1" applyFill="1" applyBorder="1" applyAlignment="1">
      <alignment horizontal="center"/>
    </xf>
    <xf numFmtId="0" fontId="8" fillId="0" borderId="52" xfId="0" applyFont="1" applyFill="1" applyBorder="1" applyAlignment="1">
      <alignment horizontal="center" vertical="center" wrapText="1"/>
    </xf>
    <xf numFmtId="0" fontId="8" fillId="0" borderId="64" xfId="0" applyFont="1" applyFill="1" applyBorder="1" applyAlignment="1">
      <alignment horizontal="center" vertical="center" wrapText="1"/>
    </xf>
    <xf numFmtId="0" fontId="8" fillId="0" borderId="72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left" vertical="center" wrapText="1"/>
    </xf>
    <xf numFmtId="0" fontId="8" fillId="0" borderId="58" xfId="0" applyFont="1" applyFill="1" applyBorder="1" applyAlignment="1">
      <alignment horizontal="left" vertical="center" wrapText="1"/>
    </xf>
    <xf numFmtId="0" fontId="28" fillId="0" borderId="26" xfId="0" applyFont="1" applyFill="1" applyBorder="1" applyAlignment="1">
      <alignment horizontal="left" vertical="center" indent="2"/>
    </xf>
    <xf numFmtId="0" fontId="28" fillId="0" borderId="35" xfId="0" applyFont="1" applyFill="1" applyBorder="1" applyAlignment="1">
      <alignment horizontal="left" vertical="center" indent="2"/>
    </xf>
    <xf numFmtId="0" fontId="61" fillId="0" borderId="0" xfId="0" applyFont="1" applyAlignment="1" applyProtection="1">
      <alignment horizontal="center" vertical="center" wrapText="1"/>
      <protection locked="0"/>
    </xf>
    <xf numFmtId="0" fontId="58" fillId="0" borderId="7" xfId="0" applyFont="1" applyBorder="1" applyAlignment="1" applyProtection="1">
      <alignment wrapText="1"/>
    </xf>
    <xf numFmtId="0" fontId="58" fillId="0" borderId="5" xfId="0" applyFont="1" applyBorder="1" applyAlignment="1" applyProtection="1">
      <alignment wrapText="1"/>
    </xf>
    <xf numFmtId="0" fontId="16" fillId="0" borderId="0" xfId="0" applyFont="1" applyAlignment="1" applyProtection="1">
      <alignment horizontal="center" textRotation="180"/>
    </xf>
    <xf numFmtId="0" fontId="43" fillId="0" borderId="0" xfId="0" applyFont="1" applyFill="1" applyAlignment="1" applyProtection="1">
      <alignment horizontal="center" vertical="top" wrapText="1"/>
      <protection locked="0"/>
    </xf>
  </cellXfs>
  <cellStyles count="511">
    <cellStyle name="1. jelölőszín" xfId="15"/>
    <cellStyle name="2. jelölőszín" xfId="16"/>
    <cellStyle name="20% - Accent1" xfId="17"/>
    <cellStyle name="20% - Accent2" xfId="18"/>
    <cellStyle name="20% - Accent3" xfId="19"/>
    <cellStyle name="20% - Accent4" xfId="20"/>
    <cellStyle name="20% - Accent5" xfId="21"/>
    <cellStyle name="20% - Accent6" xfId="22"/>
    <cellStyle name="3. jelölőszín" xfId="23"/>
    <cellStyle name="4. jelölőszín" xfId="24"/>
    <cellStyle name="40% - Accent1" xfId="25"/>
    <cellStyle name="40% - Accent2" xfId="26"/>
    <cellStyle name="40% - Accent3" xfId="27"/>
    <cellStyle name="40% - Accent4" xfId="28"/>
    <cellStyle name="40% - Accent5" xfId="29"/>
    <cellStyle name="40% - Accent6" xfId="30"/>
    <cellStyle name="5. jelölőszín" xfId="31"/>
    <cellStyle name="6. jelölőszín" xfId="32"/>
    <cellStyle name="60% - Accent1" xfId="33"/>
    <cellStyle name="60% - Accent2" xfId="34"/>
    <cellStyle name="60% - Accent3" xfId="35"/>
    <cellStyle name="60% - Accent4" xfId="36"/>
    <cellStyle name="60% - Accent5" xfId="37"/>
    <cellStyle name="60% - Accent6" xfId="38"/>
    <cellStyle name="Accent1" xfId="39"/>
    <cellStyle name="Accent2" xfId="40"/>
    <cellStyle name="Accent3" xfId="41"/>
    <cellStyle name="Accent4" xfId="42"/>
    <cellStyle name="Accent5" xfId="43"/>
    <cellStyle name="Accent6" xfId="44"/>
    <cellStyle name="Bad" xfId="45"/>
    <cellStyle name="Calculation" xfId="46"/>
    <cellStyle name="Check Cell" xfId="47"/>
    <cellStyle name="Explanatory Text" xfId="48"/>
    <cellStyle name="Ezres" xfId="1" builtinId="3"/>
    <cellStyle name="Ezres 10" xfId="49"/>
    <cellStyle name="Ezres 10 2" xfId="50"/>
    <cellStyle name="Ezres 10 2 2" xfId="51"/>
    <cellStyle name="Ezres 10 2 3" xfId="52"/>
    <cellStyle name="Ezres 10 2 3 2" xfId="53"/>
    <cellStyle name="Ezres 10 2 3 3" xfId="54"/>
    <cellStyle name="Ezres 10 2 4" xfId="55"/>
    <cellStyle name="Ezres 10 3" xfId="56"/>
    <cellStyle name="Ezres 11" xfId="57"/>
    <cellStyle name="Ezres 11 2" xfId="58"/>
    <cellStyle name="Ezres 12" xfId="59"/>
    <cellStyle name="Ezres 12 2" xfId="60"/>
    <cellStyle name="Ezres 12 2 2" xfId="61"/>
    <cellStyle name="Ezres 12 2 2 2" xfId="62"/>
    <cellStyle name="Ezres 12 2 2 2 2" xfId="63"/>
    <cellStyle name="Ezres 12 2 2 3" xfId="64"/>
    <cellStyle name="Ezres 12 3" xfId="65"/>
    <cellStyle name="Ezres 12 3 2" xfId="66"/>
    <cellStyle name="Ezres 12 3 2 2" xfId="67"/>
    <cellStyle name="Ezres 12 3 2 2 2" xfId="68"/>
    <cellStyle name="Ezres 12 3 2 2 2 2" xfId="69"/>
    <cellStyle name="Ezres 12 3 2 2 2 3" xfId="70"/>
    <cellStyle name="Ezres 12 3 2 2 3" xfId="71"/>
    <cellStyle name="Ezres 12 3 2 2 4" xfId="72"/>
    <cellStyle name="Ezres 12 3 2 3" xfId="73"/>
    <cellStyle name="Ezres 12 3 3" xfId="74"/>
    <cellStyle name="Ezres 12 3 3 2" xfId="75"/>
    <cellStyle name="Ezres 12 3 3 3" xfId="76"/>
    <cellStyle name="Ezres 12 3 4" xfId="77"/>
    <cellStyle name="Ezres 12 3 4 2" xfId="78"/>
    <cellStyle name="Ezres 12 3 4 2 2" xfId="79"/>
    <cellStyle name="Ezres 12 3 4 2 3" xfId="80"/>
    <cellStyle name="Ezres 12 3 4 2 3 2" xfId="81"/>
    <cellStyle name="Ezres 12 3 4 3" xfId="82"/>
    <cellStyle name="Ezres 12 3 4 4" xfId="83"/>
    <cellStyle name="Ezres 13" xfId="84"/>
    <cellStyle name="Ezres 13 2" xfId="85"/>
    <cellStyle name="Ezres 14" xfId="86"/>
    <cellStyle name="Ezres 14 2" xfId="87"/>
    <cellStyle name="Ezres 15" xfId="88"/>
    <cellStyle name="Ezres 15 2" xfId="89"/>
    <cellStyle name="Ezres 16" xfId="90"/>
    <cellStyle name="Ezres 17" xfId="91"/>
    <cellStyle name="Ezres 18" xfId="92"/>
    <cellStyle name="Ezres 18 2" xfId="93"/>
    <cellStyle name="Ezres 19" xfId="94"/>
    <cellStyle name="Ezres 19 2" xfId="95"/>
    <cellStyle name="Ezres 19 3" xfId="96"/>
    <cellStyle name="Ezres 2" xfId="2"/>
    <cellStyle name="Ezres 2 2" xfId="97"/>
    <cellStyle name="Ezres 2 2 2" xfId="98"/>
    <cellStyle name="Ezres 2 3" xfId="99"/>
    <cellStyle name="Ezres 2 4" xfId="100"/>
    <cellStyle name="Ezres 2 5" xfId="101"/>
    <cellStyle name="Ezres 2 5 2" xfId="102"/>
    <cellStyle name="Ezres 2 5 3" xfId="103"/>
    <cellStyle name="Ezres 2 5 4" xfId="104"/>
    <cellStyle name="Ezres 2 6" xfId="105"/>
    <cellStyle name="Ezres 2 7" xfId="106"/>
    <cellStyle name="Ezres 20" xfId="107"/>
    <cellStyle name="Ezres 21" xfId="108"/>
    <cellStyle name="Ezres 3" xfId="3"/>
    <cellStyle name="Ezres 3 2" xfId="109"/>
    <cellStyle name="Ezres 3 3" xfId="110"/>
    <cellStyle name="Ezres 3 3 2" xfId="111"/>
    <cellStyle name="Ezres 3 3 2 2" xfId="112"/>
    <cellStyle name="Ezres 4" xfId="13"/>
    <cellStyle name="Ezres 4 2" xfId="113"/>
    <cellStyle name="Ezres 4 3" xfId="114"/>
    <cellStyle name="Ezres 5" xfId="115"/>
    <cellStyle name="Ezres 5 2" xfId="116"/>
    <cellStyle name="Ezres 5 3" xfId="117"/>
    <cellStyle name="Ezres 6" xfId="118"/>
    <cellStyle name="Ezres 6 2" xfId="119"/>
    <cellStyle name="Ezres 6 3" xfId="120"/>
    <cellStyle name="Ezres 7" xfId="121"/>
    <cellStyle name="Ezres 7 2" xfId="122"/>
    <cellStyle name="Ezres 7 3" xfId="123"/>
    <cellStyle name="Ezres 7 4" xfId="124"/>
    <cellStyle name="Ezres 7 5" xfId="125"/>
    <cellStyle name="Ezres 8" xfId="126"/>
    <cellStyle name="Ezres 8 2" xfId="127"/>
    <cellStyle name="Ezres 8 3" xfId="128"/>
    <cellStyle name="Ezres 8 4" xfId="129"/>
    <cellStyle name="Ezres 9" xfId="130"/>
    <cellStyle name="Ezres 9 2" xfId="131"/>
    <cellStyle name="Ezres 9 3" xfId="132"/>
    <cellStyle name="Good" xfId="133"/>
    <cellStyle name="Heading 1" xfId="134"/>
    <cellStyle name="Heading 2" xfId="135"/>
    <cellStyle name="Heading 3" xfId="136"/>
    <cellStyle name="Heading 4" xfId="137"/>
    <cellStyle name="Hiperhivatkozás" xfId="4"/>
    <cellStyle name="Input" xfId="138"/>
    <cellStyle name="Jegyzet 2" xfId="139"/>
    <cellStyle name="Jegyzet 2 2" xfId="140"/>
    <cellStyle name="Jegyzet 2 2 2" xfId="141"/>
    <cellStyle name="Jegyzet 2 2 2 2" xfId="142"/>
    <cellStyle name="Jegyzet 2 2 2 2 2" xfId="143"/>
    <cellStyle name="Jegyzet 2 2 2 3" xfId="144"/>
    <cellStyle name="Jegyzet 2 2 3" xfId="145"/>
    <cellStyle name="Jegyzet 2 2 3 2" xfId="146"/>
    <cellStyle name="Jegyzet 2 2 3 2 2" xfId="147"/>
    <cellStyle name="Jegyzet 2 2 3 3" xfId="148"/>
    <cellStyle name="Jegyzet 2 2 4" xfId="149"/>
    <cellStyle name="Jegyzet 2 2 4 2" xfId="150"/>
    <cellStyle name="Jegyzet 2 2 5" xfId="151"/>
    <cellStyle name="Jegyzet 2 3" xfId="152"/>
    <cellStyle name="Jegyzet 2 3 2" xfId="153"/>
    <cellStyle name="Jegyzet 2 3 2 2" xfId="154"/>
    <cellStyle name="Jegyzet 2 3 2 2 2" xfId="155"/>
    <cellStyle name="Jegyzet 2 3 2 3" xfId="156"/>
    <cellStyle name="Jegyzet 2 3 3" xfId="157"/>
    <cellStyle name="Jegyzet 2 3 3 2" xfId="158"/>
    <cellStyle name="Jegyzet 2 3 3 2 2" xfId="159"/>
    <cellStyle name="Jegyzet 2 3 3 3" xfId="160"/>
    <cellStyle name="Jegyzet 2 3 4" xfId="161"/>
    <cellStyle name="Jegyzet 2 3 4 2" xfId="162"/>
    <cellStyle name="Jegyzet 2 3 5" xfId="163"/>
    <cellStyle name="Jegyzet 2 4" xfId="164"/>
    <cellStyle name="Jegyzet 2 4 2" xfId="165"/>
    <cellStyle name="Jegyzet 2 4 2 2" xfId="166"/>
    <cellStyle name="Jegyzet 2 4 2 2 2" xfId="167"/>
    <cellStyle name="Jegyzet 2 4 2 3" xfId="168"/>
    <cellStyle name="Jegyzet 2 4 3" xfId="169"/>
    <cellStyle name="Jegyzet 2 4 3 2" xfId="170"/>
    <cellStyle name="Jegyzet 2 4 3 2 2" xfId="171"/>
    <cellStyle name="Jegyzet 2 4 3 3" xfId="172"/>
    <cellStyle name="Jegyzet 2 4 4" xfId="173"/>
    <cellStyle name="Jegyzet 2 4 4 2" xfId="174"/>
    <cellStyle name="Jegyzet 2 4 5" xfId="175"/>
    <cellStyle name="Jegyzet 2 5" xfId="176"/>
    <cellStyle name="Jegyzet 2 5 2" xfId="177"/>
    <cellStyle name="Jegyzet 2 5 2 2" xfId="178"/>
    <cellStyle name="Jegyzet 2 5 2 2 2" xfId="179"/>
    <cellStyle name="Jegyzet 2 5 2 3" xfId="180"/>
    <cellStyle name="Jegyzet 2 5 3" xfId="181"/>
    <cellStyle name="Jegyzet 2 5 3 2" xfId="182"/>
    <cellStyle name="Jegyzet 2 5 3 2 2" xfId="183"/>
    <cellStyle name="Jegyzet 2 5 3 3" xfId="184"/>
    <cellStyle name="Jegyzet 2 5 4" xfId="185"/>
    <cellStyle name="Jegyzet 2 5 4 2" xfId="186"/>
    <cellStyle name="Jegyzet 2 5 5" xfId="187"/>
    <cellStyle name="Jegyzet 2 6" xfId="188"/>
    <cellStyle name="Jegyzet 2 6 2" xfId="189"/>
    <cellStyle name="Jegyzet 2 6 2 2" xfId="190"/>
    <cellStyle name="Jegyzet 2 6 3" xfId="191"/>
    <cellStyle name="Jegyzet 2 7" xfId="192"/>
    <cellStyle name="Jegyzet 2 7 2" xfId="193"/>
    <cellStyle name="Jegyzet 2 7 2 2" xfId="194"/>
    <cellStyle name="Jegyzet 2 7 3" xfId="195"/>
    <cellStyle name="Jegyzet 2 8" xfId="196"/>
    <cellStyle name="Jegyzet 2 8 2" xfId="197"/>
    <cellStyle name="Jegyzet 2 9" xfId="198"/>
    <cellStyle name="Jegyzet 2_2012. hitel feladatok" xfId="199"/>
    <cellStyle name="Jegyzet 3" xfId="200"/>
    <cellStyle name="Jegyzet 3 2" xfId="201"/>
    <cellStyle name="Jegyzet 3 2 2" xfId="202"/>
    <cellStyle name="Jegyzet 3 2 2 2" xfId="203"/>
    <cellStyle name="Jegyzet 3 2 2 2 2" xfId="204"/>
    <cellStyle name="Jegyzet 3 2 2 3" xfId="205"/>
    <cellStyle name="Jegyzet 3 2 3" xfId="206"/>
    <cellStyle name="Jegyzet 3 2 3 2" xfId="207"/>
    <cellStyle name="Jegyzet 3 2 3 2 2" xfId="208"/>
    <cellStyle name="Jegyzet 3 2 3 3" xfId="209"/>
    <cellStyle name="Jegyzet 3 2 4" xfId="210"/>
    <cellStyle name="Jegyzet 3 2 4 2" xfId="211"/>
    <cellStyle name="Jegyzet 3 2 5" xfId="212"/>
    <cellStyle name="Jegyzet 3 3" xfId="213"/>
    <cellStyle name="Jegyzet 3 3 2" xfId="214"/>
    <cellStyle name="Jegyzet 3 3 2 2" xfId="215"/>
    <cellStyle name="Jegyzet 3 3 2 2 2" xfId="216"/>
    <cellStyle name="Jegyzet 3 3 2 3" xfId="217"/>
    <cellStyle name="Jegyzet 3 3 3" xfId="218"/>
    <cellStyle name="Jegyzet 3 3 3 2" xfId="219"/>
    <cellStyle name="Jegyzet 3 3 3 2 2" xfId="220"/>
    <cellStyle name="Jegyzet 3 3 3 3" xfId="221"/>
    <cellStyle name="Jegyzet 3 3 4" xfId="222"/>
    <cellStyle name="Jegyzet 3 3 4 2" xfId="223"/>
    <cellStyle name="Jegyzet 3 3 5" xfId="224"/>
    <cellStyle name="Jegyzet 3 4" xfId="225"/>
    <cellStyle name="Jegyzet 3 4 2" xfId="226"/>
    <cellStyle name="Jegyzet 3 4 2 2" xfId="227"/>
    <cellStyle name="Jegyzet 3 4 2 2 2" xfId="228"/>
    <cellStyle name="Jegyzet 3 4 2 3" xfId="229"/>
    <cellStyle name="Jegyzet 3 4 3" xfId="230"/>
    <cellStyle name="Jegyzet 3 4 3 2" xfId="231"/>
    <cellStyle name="Jegyzet 3 4 3 2 2" xfId="232"/>
    <cellStyle name="Jegyzet 3 4 3 3" xfId="233"/>
    <cellStyle name="Jegyzet 3 4 4" xfId="234"/>
    <cellStyle name="Jegyzet 3 4 4 2" xfId="235"/>
    <cellStyle name="Jegyzet 3 4 5" xfId="236"/>
    <cellStyle name="Jegyzet 3 5" xfId="237"/>
    <cellStyle name="Jegyzet 3 5 2" xfId="238"/>
    <cellStyle name="Jegyzet 3 5 2 2" xfId="239"/>
    <cellStyle name="Jegyzet 3 5 2 2 2" xfId="240"/>
    <cellStyle name="Jegyzet 3 5 2 3" xfId="241"/>
    <cellStyle name="Jegyzet 3 5 3" xfId="242"/>
    <cellStyle name="Jegyzet 3 5 3 2" xfId="243"/>
    <cellStyle name="Jegyzet 3 5 3 2 2" xfId="244"/>
    <cellStyle name="Jegyzet 3 5 3 3" xfId="245"/>
    <cellStyle name="Jegyzet 3 5 4" xfId="246"/>
    <cellStyle name="Jegyzet 3 5 4 2" xfId="247"/>
    <cellStyle name="Jegyzet 3 5 5" xfId="248"/>
    <cellStyle name="Jegyzet 3 6" xfId="249"/>
    <cellStyle name="Jegyzet 3 6 2" xfId="250"/>
    <cellStyle name="Jegyzet 3 6 2 2" xfId="251"/>
    <cellStyle name="Jegyzet 3 6 3" xfId="252"/>
    <cellStyle name="Jegyzet 3 7" xfId="253"/>
    <cellStyle name="Jegyzet 3 7 2" xfId="254"/>
    <cellStyle name="Jegyzet 3 7 2 2" xfId="255"/>
    <cellStyle name="Jegyzet 3 7 3" xfId="256"/>
    <cellStyle name="Jegyzet 3 8" xfId="257"/>
    <cellStyle name="Jegyzet 3 8 2" xfId="258"/>
    <cellStyle name="Jegyzet 3 9" xfId="259"/>
    <cellStyle name="Jegyzet 3_2012. hitel feladatok" xfId="260"/>
    <cellStyle name="Jegyzet 4" xfId="261"/>
    <cellStyle name="Jegyzet 4 2" xfId="262"/>
    <cellStyle name="Jegyzet 4 2 2" xfId="263"/>
    <cellStyle name="Jegyzet 4 2 2 2" xfId="264"/>
    <cellStyle name="Jegyzet 4 2 2 2 2" xfId="265"/>
    <cellStyle name="Jegyzet 4 2 2 3" xfId="266"/>
    <cellStyle name="Jegyzet 4 2 3" xfId="267"/>
    <cellStyle name="Jegyzet 4 2 3 2" xfId="268"/>
    <cellStyle name="Jegyzet 4 2 3 2 2" xfId="269"/>
    <cellStyle name="Jegyzet 4 2 3 3" xfId="270"/>
    <cellStyle name="Jegyzet 4 2 4" xfId="271"/>
    <cellStyle name="Jegyzet 4 2 4 2" xfId="272"/>
    <cellStyle name="Jegyzet 4 2 5" xfId="273"/>
    <cellStyle name="Jegyzet 4 3" xfId="274"/>
    <cellStyle name="Jegyzet 4 3 2" xfId="275"/>
    <cellStyle name="Jegyzet 4 3 2 2" xfId="276"/>
    <cellStyle name="Jegyzet 4 3 2 2 2" xfId="277"/>
    <cellStyle name="Jegyzet 4 3 2 3" xfId="278"/>
    <cellStyle name="Jegyzet 4 3 3" xfId="279"/>
    <cellStyle name="Jegyzet 4 3 3 2" xfId="280"/>
    <cellStyle name="Jegyzet 4 3 3 2 2" xfId="281"/>
    <cellStyle name="Jegyzet 4 3 3 3" xfId="282"/>
    <cellStyle name="Jegyzet 4 3 4" xfId="283"/>
    <cellStyle name="Jegyzet 4 3 4 2" xfId="284"/>
    <cellStyle name="Jegyzet 4 3 5" xfId="285"/>
    <cellStyle name="Jegyzet 4 4" xfId="286"/>
    <cellStyle name="Jegyzet 4 4 2" xfId="287"/>
    <cellStyle name="Jegyzet 4 4 2 2" xfId="288"/>
    <cellStyle name="Jegyzet 4 4 2 2 2" xfId="289"/>
    <cellStyle name="Jegyzet 4 4 2 3" xfId="290"/>
    <cellStyle name="Jegyzet 4 4 3" xfId="291"/>
    <cellStyle name="Jegyzet 4 4 3 2" xfId="292"/>
    <cellStyle name="Jegyzet 4 4 3 2 2" xfId="293"/>
    <cellStyle name="Jegyzet 4 4 3 3" xfId="294"/>
    <cellStyle name="Jegyzet 4 4 4" xfId="295"/>
    <cellStyle name="Jegyzet 4 4 4 2" xfId="296"/>
    <cellStyle name="Jegyzet 4 4 5" xfId="297"/>
    <cellStyle name="Jegyzet 4 5" xfId="298"/>
    <cellStyle name="Jegyzet 4 5 2" xfId="299"/>
    <cellStyle name="Jegyzet 4 5 2 2" xfId="300"/>
    <cellStyle name="Jegyzet 4 5 2 2 2" xfId="301"/>
    <cellStyle name="Jegyzet 4 5 2 3" xfId="302"/>
    <cellStyle name="Jegyzet 4 5 3" xfId="303"/>
    <cellStyle name="Jegyzet 4 5 3 2" xfId="304"/>
    <cellStyle name="Jegyzet 4 5 3 2 2" xfId="305"/>
    <cellStyle name="Jegyzet 4 5 3 3" xfId="306"/>
    <cellStyle name="Jegyzet 4 5 4" xfId="307"/>
    <cellStyle name="Jegyzet 4 5 4 2" xfId="308"/>
    <cellStyle name="Jegyzet 4 5 5" xfId="309"/>
    <cellStyle name="Jegyzet 4 6" xfId="310"/>
    <cellStyle name="Jegyzet 4 6 2" xfId="311"/>
    <cellStyle name="Jegyzet 4 6 2 2" xfId="312"/>
    <cellStyle name="Jegyzet 4 6 3" xfId="313"/>
    <cellStyle name="Jegyzet 4 7" xfId="314"/>
    <cellStyle name="Jegyzet 4 7 2" xfId="315"/>
    <cellStyle name="Jegyzet 4 7 2 2" xfId="316"/>
    <cellStyle name="Jegyzet 4 7 3" xfId="317"/>
    <cellStyle name="Jegyzet 4 8" xfId="318"/>
    <cellStyle name="Jegyzet 4 8 2" xfId="319"/>
    <cellStyle name="Jegyzet 4 9" xfId="320"/>
    <cellStyle name="Jegyzet 4_2012. hitel feladatok" xfId="321"/>
    <cellStyle name="Jegyzet 5" xfId="322"/>
    <cellStyle name="Jegyzet 5 2" xfId="323"/>
    <cellStyle name="Jegyzet 5 2 2" xfId="324"/>
    <cellStyle name="Jegyzet 5 2 2 2" xfId="325"/>
    <cellStyle name="Jegyzet 5 2 2 2 2" xfId="326"/>
    <cellStyle name="Jegyzet 5 2 2 3" xfId="327"/>
    <cellStyle name="Jegyzet 5 2 3" xfId="328"/>
    <cellStyle name="Jegyzet 5 2 3 2" xfId="329"/>
    <cellStyle name="Jegyzet 5 2 3 2 2" xfId="330"/>
    <cellStyle name="Jegyzet 5 2 3 3" xfId="331"/>
    <cellStyle name="Jegyzet 5 2 4" xfId="332"/>
    <cellStyle name="Jegyzet 5 2 4 2" xfId="333"/>
    <cellStyle name="Jegyzet 5 2 5" xfId="334"/>
    <cellStyle name="Jegyzet 5 3" xfId="335"/>
    <cellStyle name="Jegyzet 5 3 2" xfId="336"/>
    <cellStyle name="Jegyzet 5 3 2 2" xfId="337"/>
    <cellStyle name="Jegyzet 5 3 2 2 2" xfId="338"/>
    <cellStyle name="Jegyzet 5 3 2 3" xfId="339"/>
    <cellStyle name="Jegyzet 5 3 3" xfId="340"/>
    <cellStyle name="Jegyzet 5 3 3 2" xfId="341"/>
    <cellStyle name="Jegyzet 5 3 3 2 2" xfId="342"/>
    <cellStyle name="Jegyzet 5 3 3 3" xfId="343"/>
    <cellStyle name="Jegyzet 5 3 4" xfId="344"/>
    <cellStyle name="Jegyzet 5 3 4 2" xfId="345"/>
    <cellStyle name="Jegyzet 5 3 5" xfId="346"/>
    <cellStyle name="Jegyzet 5 4" xfId="347"/>
    <cellStyle name="Jegyzet 5 4 2" xfId="348"/>
    <cellStyle name="Jegyzet 5 4 2 2" xfId="349"/>
    <cellStyle name="Jegyzet 5 4 2 2 2" xfId="350"/>
    <cellStyle name="Jegyzet 5 4 2 3" xfId="351"/>
    <cellStyle name="Jegyzet 5 4 3" xfId="352"/>
    <cellStyle name="Jegyzet 5 4 3 2" xfId="353"/>
    <cellStyle name="Jegyzet 5 4 3 2 2" xfId="354"/>
    <cellStyle name="Jegyzet 5 4 3 3" xfId="355"/>
    <cellStyle name="Jegyzet 5 4 4" xfId="356"/>
    <cellStyle name="Jegyzet 5 4 4 2" xfId="357"/>
    <cellStyle name="Jegyzet 5 4 5" xfId="358"/>
    <cellStyle name="Jegyzet 5 5" xfId="359"/>
    <cellStyle name="Jegyzet 5 5 2" xfId="360"/>
    <cellStyle name="Jegyzet 5 5 2 2" xfId="361"/>
    <cellStyle name="Jegyzet 5 5 2 2 2" xfId="362"/>
    <cellStyle name="Jegyzet 5 5 2 3" xfId="363"/>
    <cellStyle name="Jegyzet 5 5 3" xfId="364"/>
    <cellStyle name="Jegyzet 5 5 3 2" xfId="365"/>
    <cellStyle name="Jegyzet 5 5 3 2 2" xfId="366"/>
    <cellStyle name="Jegyzet 5 5 3 3" xfId="367"/>
    <cellStyle name="Jegyzet 5 5 4" xfId="368"/>
    <cellStyle name="Jegyzet 5 5 4 2" xfId="369"/>
    <cellStyle name="Jegyzet 5 5 5" xfId="370"/>
    <cellStyle name="Jegyzet 5 6" xfId="371"/>
    <cellStyle name="Jegyzet 5 6 2" xfId="372"/>
    <cellStyle name="Jegyzet 5 6 2 2" xfId="373"/>
    <cellStyle name="Jegyzet 5 6 3" xfId="374"/>
    <cellStyle name="Jegyzet 5 7" xfId="375"/>
    <cellStyle name="Jegyzet 5 7 2" xfId="376"/>
    <cellStyle name="Jegyzet 5 7 2 2" xfId="377"/>
    <cellStyle name="Jegyzet 5 7 3" xfId="378"/>
    <cellStyle name="Jegyzet 5 8" xfId="379"/>
    <cellStyle name="Jegyzet 5 8 2" xfId="380"/>
    <cellStyle name="Jegyzet 5 9" xfId="381"/>
    <cellStyle name="Jegyzet 5_2012. hitel feladatok" xfId="382"/>
    <cellStyle name="Jegyzet 6" xfId="383"/>
    <cellStyle name="Jegyzet 6 2" xfId="384"/>
    <cellStyle name="Jegyzet 6 2 2" xfId="385"/>
    <cellStyle name="Jegyzet 6 2 2 2" xfId="386"/>
    <cellStyle name="Jegyzet 6 2 3" xfId="387"/>
    <cellStyle name="Jegyzet 6 3" xfId="388"/>
    <cellStyle name="Jegyzet 6 3 2" xfId="389"/>
    <cellStyle name="Jegyzet 6 3 2 2" xfId="390"/>
    <cellStyle name="Jegyzet 6 3 3" xfId="391"/>
    <cellStyle name="Jegyzet 6 4" xfId="392"/>
    <cellStyle name="Jegyzet 6 4 2" xfId="393"/>
    <cellStyle name="Jegyzet 6 5" xfId="394"/>
    <cellStyle name="Jegyzet 7" xfId="395"/>
    <cellStyle name="Jegyzet 7 2" xfId="396"/>
    <cellStyle name="Jegyzet 7 2 2" xfId="397"/>
    <cellStyle name="Jegyzet 7 2 2 2" xfId="398"/>
    <cellStyle name="Jegyzet 7 2 3" xfId="399"/>
    <cellStyle name="Jegyzet 7 3" xfId="400"/>
    <cellStyle name="Jegyzet 7 3 2" xfId="401"/>
    <cellStyle name="Jegyzet 7 3 2 2" xfId="402"/>
    <cellStyle name="Jegyzet 7 3 3" xfId="403"/>
    <cellStyle name="Jegyzet 7 4" xfId="404"/>
    <cellStyle name="Jegyzet 7 4 2" xfId="405"/>
    <cellStyle name="Jegyzet 7 5" xfId="406"/>
    <cellStyle name="Jegyzet 8" xfId="407"/>
    <cellStyle name="Jegyzet 8 2" xfId="408"/>
    <cellStyle name="Jegyzet 8 2 2" xfId="409"/>
    <cellStyle name="Jegyzet 8 2 2 2" xfId="410"/>
    <cellStyle name="Jegyzet 8 2 3" xfId="411"/>
    <cellStyle name="Jegyzet 8 3" xfId="412"/>
    <cellStyle name="Jegyzet 8 3 2" xfId="413"/>
    <cellStyle name="Jegyzet 8 3 2 2" xfId="414"/>
    <cellStyle name="Jegyzet 8 3 3" xfId="415"/>
    <cellStyle name="Jegyzet 8 4" xfId="416"/>
    <cellStyle name="Jegyzet 8 4 2" xfId="417"/>
    <cellStyle name="Jegyzet 8 5" xfId="418"/>
    <cellStyle name="Jegyzet 9" xfId="419"/>
    <cellStyle name="Jegyzet 9 2" xfId="420"/>
    <cellStyle name="Jegyzet 9 2 2" xfId="421"/>
    <cellStyle name="Jegyzet 9 2 2 2" xfId="422"/>
    <cellStyle name="Jegyzet 9 2 3" xfId="423"/>
    <cellStyle name="Jegyzet 9 3" xfId="424"/>
    <cellStyle name="Jegyzet 9 3 2" xfId="425"/>
    <cellStyle name="Jegyzet 9 3 2 2" xfId="426"/>
    <cellStyle name="Jegyzet 9 3 3" xfId="427"/>
    <cellStyle name="Jegyzet 9 4" xfId="428"/>
    <cellStyle name="Jegyzet 9 4 2" xfId="429"/>
    <cellStyle name="Jegyzet 9 5" xfId="430"/>
    <cellStyle name="Linked Cell" xfId="431"/>
    <cellStyle name="Már látott hiperhivatkozás" xfId="5"/>
    <cellStyle name="Neutral" xfId="432"/>
    <cellStyle name="Normál" xfId="0" builtinId="0"/>
    <cellStyle name="Normál 10" xfId="433"/>
    <cellStyle name="Normál 10 2" xfId="434"/>
    <cellStyle name="Normál 10 3" xfId="435"/>
    <cellStyle name="Normál 11" xfId="436"/>
    <cellStyle name="Normál 11 2" xfId="437"/>
    <cellStyle name="Normál 11 3" xfId="438"/>
    <cellStyle name="Normál 12" xfId="439"/>
    <cellStyle name="Normál 12 2" xfId="440"/>
    <cellStyle name="Normál 12 3" xfId="441"/>
    <cellStyle name="Normál 13" xfId="442"/>
    <cellStyle name="Normál 13 2" xfId="443"/>
    <cellStyle name="Normál 13 3" xfId="444"/>
    <cellStyle name="Normál 14" xfId="445"/>
    <cellStyle name="Normál 14 2" xfId="446"/>
    <cellStyle name="Normál 14 3" xfId="447"/>
    <cellStyle name="Normál 15" xfId="448"/>
    <cellStyle name="Normál 15 2" xfId="449"/>
    <cellStyle name="Normál 15_2012. 08.30. II. tervmódosítás" xfId="450"/>
    <cellStyle name="Normál 16" xfId="451"/>
    <cellStyle name="Normál 16 2" xfId="452"/>
    <cellStyle name="Normál 16_2012. 08.30. II. tervmódosítás" xfId="453"/>
    <cellStyle name="Normál 17" xfId="454"/>
    <cellStyle name="Normál 18" xfId="455"/>
    <cellStyle name="Normál 18 2" xfId="456"/>
    <cellStyle name="Normál 19" xfId="457"/>
    <cellStyle name="Normál 2" xfId="10"/>
    <cellStyle name="Normál 2 2" xfId="14"/>
    <cellStyle name="Normál 2 2 2" xfId="458"/>
    <cellStyle name="Normál 2 2 3" xfId="459"/>
    <cellStyle name="Normál 2 3" xfId="460"/>
    <cellStyle name="Normál 2 4" xfId="461"/>
    <cellStyle name="Normál 2_2012. 05.31. terv. mód." xfId="462"/>
    <cellStyle name="Normál 20" xfId="463"/>
    <cellStyle name="Normál 20 2" xfId="464"/>
    <cellStyle name="Normál 21" xfId="465"/>
    <cellStyle name="Normál 22" xfId="11"/>
    <cellStyle name="Normál 3" xfId="466"/>
    <cellStyle name="Normál 3 2" xfId="467"/>
    <cellStyle name="Normál 3 3" xfId="468"/>
    <cellStyle name="Normál 3_2012. 08.30. II. tervmódosítás" xfId="469"/>
    <cellStyle name="Normál 4" xfId="470"/>
    <cellStyle name="Normál 4 2" xfId="471"/>
    <cellStyle name="Normál 4 3" xfId="472"/>
    <cellStyle name="Normál 5" xfId="473"/>
    <cellStyle name="Normál 5 2" xfId="474"/>
    <cellStyle name="Normál 5 3" xfId="475"/>
    <cellStyle name="Normál 6" xfId="476"/>
    <cellStyle name="Normál 6 2" xfId="477"/>
    <cellStyle name="Normál 6 3" xfId="478"/>
    <cellStyle name="Normál 7" xfId="479"/>
    <cellStyle name="Normál 7 2" xfId="480"/>
    <cellStyle name="Normál 7 3" xfId="481"/>
    <cellStyle name="Normál 8" xfId="482"/>
    <cellStyle name="Normál 8 2" xfId="483"/>
    <cellStyle name="Normál 8 3" xfId="484"/>
    <cellStyle name="Normál 9" xfId="485"/>
    <cellStyle name="Normál 9 2" xfId="486"/>
    <cellStyle name="Normál 9 3" xfId="487"/>
    <cellStyle name="Normal_2 Overdue cases" xfId="488"/>
    <cellStyle name="Normál_Bérfejl." xfId="12"/>
    <cellStyle name="Normal_bevkiad80vizsgx" xfId="489"/>
    <cellStyle name="Normál_KVRENMUNKA" xfId="6"/>
    <cellStyle name="Normal_tanusitv" xfId="490"/>
    <cellStyle name="Normál_VAGYONK" xfId="7"/>
    <cellStyle name="Normál_VAGYONKIM" xfId="8"/>
    <cellStyle name="Note" xfId="491"/>
    <cellStyle name="Output" xfId="492"/>
    <cellStyle name="Pénznem 3" xfId="493"/>
    <cellStyle name="Pénznem 3 2" xfId="494"/>
    <cellStyle name="Százalék" xfId="9" builtinId="5"/>
    <cellStyle name="Százalék 2" xfId="495"/>
    <cellStyle name="Százalék 2 2" xfId="496"/>
    <cellStyle name="Százalék 2 3" xfId="497"/>
    <cellStyle name="Százalék 2 4" xfId="498"/>
    <cellStyle name="Százalék 3" xfId="499"/>
    <cellStyle name="Százalék 4" xfId="500"/>
    <cellStyle name="Százalék 5" xfId="501"/>
    <cellStyle name="Százalék 6" xfId="502"/>
    <cellStyle name="Százalék 6 2" xfId="503"/>
    <cellStyle name="Százalék 7" xfId="504"/>
    <cellStyle name="Százalék 7 2" xfId="505"/>
    <cellStyle name="Százalék 7 2 2" xfId="506"/>
    <cellStyle name="Százalék 8" xfId="507"/>
    <cellStyle name="Title" xfId="508"/>
    <cellStyle name="Total" xfId="509"/>
    <cellStyle name="Warning Text" xfId="510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externalLink" Target="externalLinks/externalLink2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arg&#243;/K&#214;LTS&#201;GVET&#201;S/2016/2016.%20k&#246;lts&#233;gvet&#233;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go\Downloads\2016.%20&#233;vi%20z&#225;rsz&#225;mad&#225;s%20t&#225;bl&#225;zat%20jav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ÖSSZEFÜGGÉSEK"/>
      <sheetName val="1.1.sz.mell."/>
      <sheetName val="1.2.sz.mell."/>
      <sheetName val="1.3.sz.mell."/>
      <sheetName val="1.4.sz.mell."/>
      <sheetName val="2.1.sz.mell  "/>
      <sheetName val="2.2.sz.mell  "/>
      <sheetName val="ELLENŐRZÉS-1.sz.2.a.sz.2.b.sz."/>
      <sheetName val="3.sz.mell.  "/>
      <sheetName val="4.sz.mell."/>
      <sheetName val="5.sz.mell."/>
      <sheetName val="6.sz.mell."/>
      <sheetName val="7.sz.mell."/>
      <sheetName val="8. sz. mell. "/>
      <sheetName val="9.1. sz. mell ÖNK"/>
      <sheetName val="9.1.1. sz. mell ÖNK"/>
      <sheetName val="9.1.2. sz. mell ÖNK"/>
      <sheetName val="9.1.3. sz. mell ÖNK"/>
      <sheetName val="9.2. sz. mell HIV"/>
      <sheetName val="9.2.1. sz. mell HIV"/>
      <sheetName val="9.2.2. sz.  mell HIV"/>
      <sheetName val="9.2.3. sz. mell HIV"/>
      <sheetName val="9.3. sz. mell GAM"/>
      <sheetName val="9.3.1. sz. mell GAM"/>
      <sheetName val="9.3.2. sz. mell GAM"/>
      <sheetName val="9.3.3. sz. mell GAM"/>
      <sheetName val="9.4. sz. mell ILMKS"/>
      <sheetName val="9.4.1. sz. mell ILMKS"/>
      <sheetName val="9.4.2. sz. mell ILMKS"/>
      <sheetName val="9.4.3. sz. mell ILMKS"/>
      <sheetName val="9.5. sz. mell OVI"/>
      <sheetName val="9.5.1. sz. mell OVI"/>
      <sheetName val="9.5.2. sz. mell OVI"/>
      <sheetName val="9.5.3. sz. mell OVI"/>
      <sheetName val="10.sz.mell"/>
      <sheetName val="1. sz tájékoztató t."/>
      <sheetName val="2. sz tájékoztató t"/>
      <sheetName val="3. sz tájékoztató t."/>
      <sheetName val="4.sz tájékoztató t."/>
      <sheetName val="5.sz tájékoztató t."/>
      <sheetName val="6.sz tájékoztató t."/>
      <sheetName val="7. sz tájékoztató t."/>
      <sheetName val="Munka1"/>
    </sheetNames>
    <sheetDataSet>
      <sheetData sheetId="0">
        <row r="5">
          <cell r="A5" t="str">
            <v>2016. évi előirányzat BEVÉTELEK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ÖSSZEFÜGGÉSEK"/>
      <sheetName val="1.1.sz.mell."/>
      <sheetName val="1.2.sz.mell."/>
      <sheetName val="1.3.sz.mell."/>
      <sheetName val="1.4.sz.mell."/>
      <sheetName val="2.1.sz.mell  "/>
      <sheetName val="2.2.sz.mell  "/>
      <sheetName val="ELLENŐRZÉS-1.sz.2.1.sz.2.2.sz."/>
      <sheetName val="3.sz.mell."/>
      <sheetName val="4.sz.mell."/>
      <sheetName val="5. sz. mell. "/>
      <sheetName val="6.1. sz. mell"/>
      <sheetName val="6.2. sz. mell"/>
      <sheetName val="6.3. sz. mell"/>
      <sheetName val="6.4. sz. mell"/>
      <sheetName val="7.1. sz. mell"/>
      <sheetName val="7.2. sz. mell"/>
      <sheetName val="7.3. sz. mell"/>
      <sheetName val="7.4. sz. mell"/>
      <sheetName val="8.1. sz. mell."/>
      <sheetName val="8.1.1. sz. mell."/>
      <sheetName val="8.1.2. sz. mell."/>
      <sheetName val="8.1.3. sz. mell."/>
      <sheetName val="8.2. sz. mell."/>
      <sheetName val="8.2.1. sz. mell."/>
      <sheetName val="8.2.2. sz. mell."/>
      <sheetName val="8.2.3. sz. mell."/>
      <sheetName val="8.3. sz. mell."/>
      <sheetName val="8.3.1. sz. mell."/>
      <sheetName val="8.3.2. sz. mell. "/>
      <sheetName val="8.3.3. sz. mell."/>
      <sheetName val="9. sz. mell"/>
      <sheetName val="1.tájékoztató"/>
      <sheetName val="2. tájékoztató tábla"/>
      <sheetName val="3. tájékoztató tábla"/>
      <sheetName val="4. tájékoztató tábla"/>
      <sheetName val="5. tájékoztató tábla"/>
      <sheetName val="6. tájékoztató tábla"/>
      <sheetName val="7.1. tájékoztató tábla"/>
      <sheetName val="7.2. tájékoztató tábla"/>
      <sheetName val="7.3. tájékoztató tábla"/>
      <sheetName val="7.4. tájékoztató tábla"/>
      <sheetName val="8. tájékoztató tábla"/>
      <sheetName val="9. tájékoztató tábla"/>
      <sheetName val="Munka1"/>
    </sheetNames>
    <sheetDataSet>
      <sheetData sheetId="0"/>
      <sheetData sheetId="1">
        <row r="85">
          <cell r="E85">
            <v>1409341198</v>
          </cell>
        </row>
        <row r="146">
          <cell r="E146">
            <v>1227620044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B38"/>
  <sheetViews>
    <sheetView topLeftCell="A4" zoomScaleNormal="100" workbookViewId="0">
      <selection sqref="A1:E1"/>
    </sheetView>
  </sheetViews>
  <sheetFormatPr defaultRowHeight="12.75"/>
  <cols>
    <col min="1" max="1" width="46.33203125" style="287" customWidth="1"/>
    <col min="2" max="2" width="66.1640625" style="287" customWidth="1"/>
    <col min="3" max="16384" width="9.33203125" style="287"/>
  </cols>
  <sheetData>
    <row r="1" spans="1:2" ht="18.75">
      <c r="A1" s="475" t="s">
        <v>110</v>
      </c>
    </row>
    <row r="3" spans="1:2">
      <c r="A3" s="476"/>
      <c r="B3" s="476"/>
    </row>
    <row r="4" spans="1:2" ht="15.75">
      <c r="A4" s="450" t="s">
        <v>730</v>
      </c>
      <c r="B4" s="477"/>
    </row>
    <row r="5" spans="1:2" s="478" customFormat="1">
      <c r="A5" s="476"/>
      <c r="B5" s="476"/>
    </row>
    <row r="6" spans="1:2">
      <c r="A6" s="476" t="s">
        <v>503</v>
      </c>
      <c r="B6" s="476" t="s">
        <v>504</v>
      </c>
    </row>
    <row r="7" spans="1:2">
      <c r="A7" s="476" t="s">
        <v>505</v>
      </c>
      <c r="B7" s="476" t="s">
        <v>506</v>
      </c>
    </row>
    <row r="8" spans="1:2">
      <c r="A8" s="476" t="s">
        <v>507</v>
      </c>
      <c r="B8" s="476" t="s">
        <v>508</v>
      </c>
    </row>
    <row r="9" spans="1:2">
      <c r="A9" s="476"/>
      <c r="B9" s="476"/>
    </row>
    <row r="10" spans="1:2" ht="15.75">
      <c r="A10" s="450" t="str">
        <f>+CONCATENATE(LEFT(A4,4),". évi módosított előirányzat BEVÉTELEK")</f>
        <v>2016. évi módosított előirányzat BEVÉTELEK</v>
      </c>
      <c r="B10" s="477"/>
    </row>
    <row r="11" spans="1:2">
      <c r="A11" s="476"/>
      <c r="B11" s="476"/>
    </row>
    <row r="12" spans="1:2" s="478" customFormat="1">
      <c r="A12" s="476" t="s">
        <v>509</v>
      </c>
      <c r="B12" s="476" t="s">
        <v>515</v>
      </c>
    </row>
    <row r="13" spans="1:2">
      <c r="A13" s="476" t="s">
        <v>510</v>
      </c>
      <c r="B13" s="476" t="s">
        <v>516</v>
      </c>
    </row>
    <row r="14" spans="1:2">
      <c r="A14" s="476" t="s">
        <v>511</v>
      </c>
      <c r="B14" s="476" t="s">
        <v>517</v>
      </c>
    </row>
    <row r="15" spans="1:2">
      <c r="A15" s="476"/>
      <c r="B15" s="476"/>
    </row>
    <row r="16" spans="1:2" ht="14.25">
      <c r="A16" s="479" t="str">
        <f>+CONCATENATE(LEFT(A4,4),". évi teljesítés BEVÉTELEK")</f>
        <v>2016. évi teljesítés BEVÉTELEK</v>
      </c>
      <c r="B16" s="477"/>
    </row>
    <row r="17" spans="1:2">
      <c r="A17" s="476"/>
      <c r="B17" s="476"/>
    </row>
    <row r="18" spans="1:2">
      <c r="A18" s="476" t="s">
        <v>512</v>
      </c>
      <c r="B18" s="476" t="s">
        <v>518</v>
      </c>
    </row>
    <row r="19" spans="1:2">
      <c r="A19" s="476" t="s">
        <v>513</v>
      </c>
      <c r="B19" s="476" t="s">
        <v>519</v>
      </c>
    </row>
    <row r="20" spans="1:2">
      <c r="A20" s="476" t="s">
        <v>514</v>
      </c>
      <c r="B20" s="476" t="s">
        <v>520</v>
      </c>
    </row>
    <row r="21" spans="1:2">
      <c r="A21" s="476"/>
      <c r="B21" s="476"/>
    </row>
    <row r="22" spans="1:2" ht="15.75">
      <c r="A22" s="450" t="str">
        <f>+CONCATENATE(LEFT(A4,4),". évi eredeti előirányzat KIADÁSOK")</f>
        <v>2016. évi eredeti előirányzat KIADÁSOK</v>
      </c>
      <c r="B22" s="477"/>
    </row>
    <row r="23" spans="1:2">
      <c r="A23" s="476"/>
      <c r="B23" s="476"/>
    </row>
    <row r="24" spans="1:2">
      <c r="A24" s="476" t="s">
        <v>521</v>
      </c>
      <c r="B24" s="476" t="s">
        <v>527</v>
      </c>
    </row>
    <row r="25" spans="1:2">
      <c r="A25" s="476" t="s">
        <v>500</v>
      </c>
      <c r="B25" s="476" t="s">
        <v>528</v>
      </c>
    </row>
    <row r="26" spans="1:2">
      <c r="A26" s="476" t="s">
        <v>522</v>
      </c>
      <c r="B26" s="476" t="s">
        <v>529</v>
      </c>
    </row>
    <row r="27" spans="1:2">
      <c r="A27" s="476"/>
      <c r="B27" s="476"/>
    </row>
    <row r="28" spans="1:2" ht="15.75">
      <c r="A28" s="450" t="str">
        <f>+CONCATENATE(LEFT(A4,4),". évi módosított előirányzat KIADÁSOK")</f>
        <v>2016. évi módosított előirányzat KIADÁSOK</v>
      </c>
      <c r="B28" s="477"/>
    </row>
    <row r="29" spans="1:2">
      <c r="A29" s="476"/>
      <c r="B29" s="476"/>
    </row>
    <row r="30" spans="1:2">
      <c r="A30" s="476" t="s">
        <v>523</v>
      </c>
      <c r="B30" s="476" t="s">
        <v>534</v>
      </c>
    </row>
    <row r="31" spans="1:2">
      <c r="A31" s="476" t="s">
        <v>501</v>
      </c>
      <c r="B31" s="476" t="s">
        <v>531</v>
      </c>
    </row>
    <row r="32" spans="1:2">
      <c r="A32" s="476" t="s">
        <v>524</v>
      </c>
      <c r="B32" s="476" t="s">
        <v>530</v>
      </c>
    </row>
    <row r="33" spans="1:2">
      <c r="A33" s="476"/>
      <c r="B33" s="476"/>
    </row>
    <row r="34" spans="1:2" ht="15.75">
      <c r="A34" s="480" t="str">
        <f>+CONCATENATE(LEFT(A4,4),". évi teljesítés KIADÁSOK")</f>
        <v>2016. évi teljesítés KIADÁSOK</v>
      </c>
      <c r="B34" s="477"/>
    </row>
    <row r="35" spans="1:2">
      <c r="A35" s="476"/>
      <c r="B35" s="476"/>
    </row>
    <row r="36" spans="1:2">
      <c r="A36" s="476" t="s">
        <v>525</v>
      </c>
      <c r="B36" s="476" t="s">
        <v>535</v>
      </c>
    </row>
    <row r="37" spans="1:2">
      <c r="A37" s="476" t="s">
        <v>502</v>
      </c>
      <c r="B37" s="476" t="s">
        <v>533</v>
      </c>
    </row>
    <row r="38" spans="1:2">
      <c r="A38" s="476" t="s">
        <v>526</v>
      </c>
      <c r="B38" s="476" t="s">
        <v>532</v>
      </c>
    </row>
  </sheetData>
  <phoneticPr fontId="27" type="noConversion"/>
  <pageMargins left="1.0629921259842521" right="1.0236220472440944" top="0.78740157480314965" bottom="0.78740157480314965" header="0.70866141732283472" footer="0.70866141732283472"/>
  <pageSetup paperSize="9" scale="7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H24"/>
  <sheetViews>
    <sheetView topLeftCell="A4" zoomScaleNormal="100" zoomScaleSheetLayoutView="130" workbookViewId="0">
      <selection activeCell="H25" sqref="H25"/>
    </sheetView>
  </sheetViews>
  <sheetFormatPr defaultRowHeight="12.75"/>
  <cols>
    <col min="1" max="1" width="48.1640625" style="5" customWidth="1"/>
    <col min="2" max="7" width="15.83203125" style="4" customWidth="1"/>
    <col min="8" max="8" width="4.1640625" style="4" customWidth="1"/>
    <col min="9" max="9" width="13.83203125" style="4" customWidth="1"/>
    <col min="10" max="16384" width="9.33203125" style="4"/>
  </cols>
  <sheetData>
    <row r="1" spans="1:8" ht="24.75" customHeight="1">
      <c r="A1" s="837" t="s">
        <v>2</v>
      </c>
      <c r="B1" s="837"/>
      <c r="C1" s="837"/>
      <c r="D1" s="837"/>
      <c r="E1" s="837"/>
      <c r="F1" s="837"/>
      <c r="G1" s="837"/>
      <c r="H1" s="839" t="str">
        <f>+CONCATENATE("4. melléklet a 15/",LEFT(ÖSSZEFÜGGÉSEK!A4,4)+1,". (V. 30.) önkormányzati rendelethez")</f>
        <v>4. melléklet a 15/2017. (V. 30.) önkormányzati rendelethez</v>
      </c>
    </row>
    <row r="2" spans="1:8" ht="23.25" customHeight="1" thickBot="1">
      <c r="A2" s="26"/>
      <c r="B2" s="10"/>
      <c r="C2" s="10"/>
      <c r="D2" s="10"/>
      <c r="E2" s="10"/>
      <c r="F2" s="836" t="s">
        <v>51</v>
      </c>
      <c r="G2" s="836"/>
      <c r="H2" s="839"/>
    </row>
    <row r="3" spans="1:8" s="6" customFormat="1" ht="48.75" customHeight="1" thickBot="1">
      <c r="A3" s="27" t="s">
        <v>58</v>
      </c>
      <c r="B3" s="28" t="s">
        <v>56</v>
      </c>
      <c r="C3" s="28" t="s">
        <v>57</v>
      </c>
      <c r="D3" s="28" t="str">
        <f>+'3.sz.mell.'!D3</f>
        <v>Felhasználás 2015. XII.31-ig</v>
      </c>
      <c r="E3" s="28" t="str">
        <f>+'3.sz.mell.'!E3</f>
        <v>2016. évi módosított előirányzat</v>
      </c>
      <c r="F3" s="105" t="str">
        <f>+'3.sz.mell.'!F3</f>
        <v>2016. évi teljesítés</v>
      </c>
      <c r="G3" s="104" t="str">
        <f>+'3.sz.mell.'!G3</f>
        <v>Összes teljesítés 2016. dec. 31-ig</v>
      </c>
      <c r="H3" s="839"/>
    </row>
    <row r="4" spans="1:8" s="10" customFormat="1" ht="15" customHeight="1" thickBot="1">
      <c r="A4" s="443" t="s">
        <v>409</v>
      </c>
      <c r="B4" s="444" t="s">
        <v>410</v>
      </c>
      <c r="C4" s="444" t="s">
        <v>411</v>
      </c>
      <c r="D4" s="444" t="s">
        <v>412</v>
      </c>
      <c r="E4" s="444" t="s">
        <v>413</v>
      </c>
      <c r="F4" s="49" t="s">
        <v>490</v>
      </c>
      <c r="G4" s="445" t="s">
        <v>536</v>
      </c>
      <c r="H4" s="839"/>
    </row>
    <row r="5" spans="1:8" ht="15.95" customHeight="1">
      <c r="A5" s="17" t="s">
        <v>744</v>
      </c>
      <c r="B5" s="2">
        <v>4000</v>
      </c>
      <c r="C5" s="311">
        <v>2016</v>
      </c>
      <c r="D5" s="2"/>
      <c r="E5" s="2">
        <v>4000</v>
      </c>
      <c r="F5" s="50">
        <v>3450</v>
      </c>
      <c r="G5" s="51">
        <f>+D5+F5</f>
        <v>3450</v>
      </c>
      <c r="H5" s="839"/>
    </row>
    <row r="6" spans="1:8" ht="15.95" customHeight="1">
      <c r="A6" s="17" t="s">
        <v>745</v>
      </c>
      <c r="B6" s="2">
        <v>400</v>
      </c>
      <c r="C6" s="311">
        <v>2016</v>
      </c>
      <c r="D6" s="2"/>
      <c r="E6" s="2">
        <v>400</v>
      </c>
      <c r="F6" s="50"/>
      <c r="G6" s="51">
        <f t="shared" ref="G6:G23" si="0">+D6+F6</f>
        <v>0</v>
      </c>
      <c r="H6" s="839"/>
    </row>
    <row r="7" spans="1:8" ht="15.95" customHeight="1">
      <c r="A7" s="17" t="s">
        <v>746</v>
      </c>
      <c r="B7" s="2">
        <v>200</v>
      </c>
      <c r="C7" s="311">
        <v>2016</v>
      </c>
      <c r="D7" s="2"/>
      <c r="E7" s="2">
        <v>200</v>
      </c>
      <c r="F7" s="50"/>
      <c r="G7" s="51">
        <f t="shared" si="0"/>
        <v>0</v>
      </c>
      <c r="H7" s="839"/>
    </row>
    <row r="8" spans="1:8" ht="15.95" customHeight="1">
      <c r="A8" s="17" t="s">
        <v>753</v>
      </c>
      <c r="B8" s="2"/>
      <c r="C8" s="311">
        <v>2016</v>
      </c>
      <c r="D8" s="2"/>
      <c r="E8" s="2">
        <v>30000</v>
      </c>
      <c r="F8" s="50">
        <f>25867+4563</f>
        <v>30430</v>
      </c>
      <c r="G8" s="51">
        <f t="shared" si="0"/>
        <v>30430</v>
      </c>
      <c r="H8" s="839"/>
    </row>
    <row r="9" spans="1:8" ht="15.95" customHeight="1">
      <c r="A9" s="17" t="s">
        <v>751</v>
      </c>
      <c r="B9" s="2"/>
      <c r="C9" s="311">
        <v>2016</v>
      </c>
      <c r="D9" s="2"/>
      <c r="E9" s="2">
        <v>3000</v>
      </c>
      <c r="F9" s="50">
        <v>1500</v>
      </c>
      <c r="G9" s="51">
        <f t="shared" si="0"/>
        <v>1500</v>
      </c>
      <c r="H9" s="839"/>
    </row>
    <row r="10" spans="1:8" ht="15.95" customHeight="1">
      <c r="A10" s="17"/>
      <c r="B10" s="2"/>
      <c r="C10" s="311"/>
      <c r="D10" s="2"/>
      <c r="E10" s="2"/>
      <c r="F10" s="50"/>
      <c r="G10" s="51">
        <f t="shared" si="0"/>
        <v>0</v>
      </c>
      <c r="H10" s="839"/>
    </row>
    <row r="11" spans="1:8" ht="15.95" customHeight="1">
      <c r="A11" s="17"/>
      <c r="B11" s="2"/>
      <c r="C11" s="311"/>
      <c r="D11" s="2"/>
      <c r="E11" s="2"/>
      <c r="F11" s="50"/>
      <c r="G11" s="51">
        <f t="shared" si="0"/>
        <v>0</v>
      </c>
      <c r="H11" s="839"/>
    </row>
    <row r="12" spans="1:8" ht="15.95" customHeight="1">
      <c r="A12" s="17"/>
      <c r="B12" s="2"/>
      <c r="C12" s="311"/>
      <c r="D12" s="2"/>
      <c r="E12" s="2"/>
      <c r="F12" s="50"/>
      <c r="G12" s="51">
        <f t="shared" si="0"/>
        <v>0</v>
      </c>
      <c r="H12" s="839"/>
    </row>
    <row r="13" spans="1:8" ht="15.95" customHeight="1">
      <c r="A13" s="17"/>
      <c r="B13" s="2"/>
      <c r="C13" s="311"/>
      <c r="D13" s="2"/>
      <c r="E13" s="2"/>
      <c r="F13" s="50"/>
      <c r="G13" s="51">
        <f t="shared" si="0"/>
        <v>0</v>
      </c>
      <c r="H13" s="839"/>
    </row>
    <row r="14" spans="1:8" ht="15.95" customHeight="1">
      <c r="A14" s="17"/>
      <c r="B14" s="2"/>
      <c r="C14" s="311"/>
      <c r="D14" s="2"/>
      <c r="E14" s="2"/>
      <c r="F14" s="50"/>
      <c r="G14" s="51">
        <f t="shared" si="0"/>
        <v>0</v>
      </c>
      <c r="H14" s="839"/>
    </row>
    <row r="15" spans="1:8" ht="15.95" customHeight="1">
      <c r="A15" s="17"/>
      <c r="B15" s="2"/>
      <c r="C15" s="311"/>
      <c r="D15" s="2"/>
      <c r="E15" s="2"/>
      <c r="F15" s="50"/>
      <c r="G15" s="51">
        <f t="shared" si="0"/>
        <v>0</v>
      </c>
      <c r="H15" s="839"/>
    </row>
    <row r="16" spans="1:8" ht="15.95" customHeight="1">
      <c r="A16" s="17"/>
      <c r="B16" s="2"/>
      <c r="C16" s="311"/>
      <c r="D16" s="2"/>
      <c r="E16" s="2"/>
      <c r="F16" s="50"/>
      <c r="G16" s="51">
        <f t="shared" si="0"/>
        <v>0</v>
      </c>
      <c r="H16" s="839"/>
    </row>
    <row r="17" spans="1:8" ht="15.95" customHeight="1">
      <c r="A17" s="17"/>
      <c r="B17" s="2"/>
      <c r="C17" s="311"/>
      <c r="D17" s="2"/>
      <c r="E17" s="2"/>
      <c r="F17" s="50"/>
      <c r="G17" s="51">
        <f t="shared" si="0"/>
        <v>0</v>
      </c>
      <c r="H17" s="839"/>
    </row>
    <row r="18" spans="1:8" ht="15.95" customHeight="1">
      <c r="A18" s="17"/>
      <c r="B18" s="2"/>
      <c r="C18" s="311"/>
      <c r="D18" s="2"/>
      <c r="E18" s="2"/>
      <c r="F18" s="50"/>
      <c r="G18" s="51">
        <f t="shared" si="0"/>
        <v>0</v>
      </c>
      <c r="H18" s="839"/>
    </row>
    <row r="19" spans="1:8" ht="15.95" customHeight="1">
      <c r="A19" s="17"/>
      <c r="B19" s="2"/>
      <c r="C19" s="311"/>
      <c r="D19" s="2"/>
      <c r="E19" s="2"/>
      <c r="F19" s="50"/>
      <c r="G19" s="51">
        <f t="shared" si="0"/>
        <v>0</v>
      </c>
      <c r="H19" s="839"/>
    </row>
    <row r="20" spans="1:8" ht="15.95" customHeight="1">
      <c r="A20" s="17"/>
      <c r="B20" s="2"/>
      <c r="C20" s="311"/>
      <c r="D20" s="2"/>
      <c r="E20" s="2"/>
      <c r="F20" s="50"/>
      <c r="G20" s="51">
        <f t="shared" si="0"/>
        <v>0</v>
      </c>
      <c r="H20" s="839"/>
    </row>
    <row r="21" spans="1:8" ht="15.95" customHeight="1">
      <c r="A21" s="17"/>
      <c r="B21" s="2"/>
      <c r="C21" s="311"/>
      <c r="D21" s="2"/>
      <c r="E21" s="2"/>
      <c r="F21" s="50"/>
      <c r="G21" s="51">
        <f t="shared" si="0"/>
        <v>0</v>
      </c>
      <c r="H21" s="839"/>
    </row>
    <row r="22" spans="1:8" ht="15.95" customHeight="1">
      <c r="A22" s="17"/>
      <c r="B22" s="2"/>
      <c r="C22" s="311"/>
      <c r="D22" s="2"/>
      <c r="E22" s="2"/>
      <c r="F22" s="50"/>
      <c r="G22" s="51">
        <f t="shared" si="0"/>
        <v>0</v>
      </c>
      <c r="H22" s="839"/>
    </row>
    <row r="23" spans="1:8" ht="15.95" customHeight="1" thickBot="1">
      <c r="A23" s="18"/>
      <c r="B23" s="3"/>
      <c r="C23" s="312"/>
      <c r="D23" s="3"/>
      <c r="E23" s="3"/>
      <c r="F23" s="52"/>
      <c r="G23" s="51">
        <f t="shared" si="0"/>
        <v>0</v>
      </c>
      <c r="H23" s="839"/>
    </row>
    <row r="24" spans="1:8" s="16" customFormat="1" ht="18" customHeight="1" thickBot="1">
      <c r="A24" s="29" t="s">
        <v>54</v>
      </c>
      <c r="B24" s="14">
        <f>SUM(B5:B23)</f>
        <v>4600</v>
      </c>
      <c r="C24" s="21"/>
      <c r="D24" s="14">
        <f>SUM(D5:D23)</f>
        <v>0</v>
      </c>
      <c r="E24" s="14">
        <f>SUM(E5:E23)</f>
        <v>37600</v>
      </c>
      <c r="F24" s="14">
        <f>SUM(F5:F23)</f>
        <v>35380</v>
      </c>
      <c r="G24" s="15">
        <f>SUM(G5:G23)</f>
        <v>35380</v>
      </c>
      <c r="H24" s="839"/>
    </row>
  </sheetData>
  <mergeCells count="3">
    <mergeCell ref="F2:G2"/>
    <mergeCell ref="A1:G1"/>
    <mergeCell ref="H1:H24"/>
  </mergeCells>
  <phoneticPr fontId="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98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A1:N48"/>
  <sheetViews>
    <sheetView view="pageLayout" topLeftCell="A22" zoomScaleNormal="130" zoomScaleSheetLayoutView="100" workbookViewId="0">
      <selection activeCell="N34" sqref="N34"/>
    </sheetView>
  </sheetViews>
  <sheetFormatPr defaultRowHeight="12.75"/>
  <cols>
    <col min="1" max="1" width="28.5" style="8" customWidth="1"/>
    <col min="2" max="13" width="10" style="8" customWidth="1"/>
    <col min="14" max="14" width="4" style="8" customWidth="1"/>
    <col min="15" max="16384" width="9.33203125" style="8"/>
  </cols>
  <sheetData>
    <row r="1" spans="1:14" ht="15.75" customHeight="1">
      <c r="A1" s="840" t="s">
        <v>0</v>
      </c>
      <c r="B1" s="840"/>
      <c r="C1" s="840"/>
      <c r="D1" s="852"/>
      <c r="E1" s="852"/>
      <c r="F1" s="852"/>
      <c r="G1" s="852"/>
      <c r="H1" s="852"/>
      <c r="I1" s="852"/>
      <c r="J1" s="852"/>
      <c r="K1" s="852"/>
      <c r="L1" s="852"/>
      <c r="M1" s="852"/>
      <c r="N1" s="842" t="str">
        <f>+CONCATENATE("5. melléklet a 15/",LEFT(ÖSSZEFÜGGÉSEK!A4,4)+1,". (V. 30.) önkormányzati rendelethez    ")</f>
        <v xml:space="preserve">5. melléklet a 15/2017. (V. 30.) önkormányzati rendelethez    </v>
      </c>
    </row>
    <row r="2" spans="1:14" ht="15.75" thickBo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854" t="s">
        <v>51</v>
      </c>
      <c r="M2" s="854"/>
      <c r="N2" s="842"/>
    </row>
    <row r="3" spans="1:14" ht="13.5" thickBot="1">
      <c r="A3" s="860" t="s">
        <v>92</v>
      </c>
      <c r="B3" s="855" t="s">
        <v>182</v>
      </c>
      <c r="C3" s="855"/>
      <c r="D3" s="855"/>
      <c r="E3" s="855"/>
      <c r="F3" s="855"/>
      <c r="G3" s="855"/>
      <c r="H3" s="855"/>
      <c r="I3" s="855"/>
      <c r="J3" s="847" t="s">
        <v>184</v>
      </c>
      <c r="K3" s="847"/>
      <c r="L3" s="847"/>
      <c r="M3" s="847"/>
      <c r="N3" s="842"/>
    </row>
    <row r="4" spans="1:14" ht="15" customHeight="1" thickBot="1">
      <c r="A4" s="861"/>
      <c r="B4" s="858" t="s">
        <v>185</v>
      </c>
      <c r="C4" s="841" t="s">
        <v>186</v>
      </c>
      <c r="D4" s="851" t="s">
        <v>180</v>
      </c>
      <c r="E4" s="851"/>
      <c r="F4" s="851"/>
      <c r="G4" s="851"/>
      <c r="H4" s="851"/>
      <c r="I4" s="851"/>
      <c r="J4" s="848"/>
      <c r="K4" s="848"/>
      <c r="L4" s="848"/>
      <c r="M4" s="848"/>
      <c r="N4" s="842"/>
    </row>
    <row r="5" spans="1:14" ht="21.75" thickBot="1">
      <c r="A5" s="861"/>
      <c r="B5" s="858"/>
      <c r="C5" s="841"/>
      <c r="D5" s="54" t="s">
        <v>185</v>
      </c>
      <c r="E5" s="54" t="s">
        <v>186</v>
      </c>
      <c r="F5" s="54" t="s">
        <v>185</v>
      </c>
      <c r="G5" s="54" t="s">
        <v>186</v>
      </c>
      <c r="H5" s="54" t="s">
        <v>185</v>
      </c>
      <c r="I5" s="54" t="s">
        <v>186</v>
      </c>
      <c r="J5" s="848"/>
      <c r="K5" s="848"/>
      <c r="L5" s="848"/>
      <c r="M5" s="848"/>
      <c r="N5" s="842"/>
    </row>
    <row r="6" spans="1:14" ht="32.25" thickBot="1">
      <c r="A6" s="862"/>
      <c r="B6" s="841" t="s">
        <v>181</v>
      </c>
      <c r="C6" s="841"/>
      <c r="D6" s="841" t="str">
        <f>+CONCATENATE(LEFT(ÖSSZEFÜGGÉSEK!A4,4),". előtt")</f>
        <v>2016. előtt</v>
      </c>
      <c r="E6" s="841"/>
      <c r="F6" s="841" t="str">
        <f>+CONCATENATE(LEFT(ÖSSZEFÜGGÉSEK!A4,4),". évi")</f>
        <v>2016. évi</v>
      </c>
      <c r="G6" s="841"/>
      <c r="H6" s="858" t="str">
        <f>+CONCATENATE(LEFT(ÖSSZEFÜGGÉSEK!A4,4),". után")</f>
        <v>2016. után</v>
      </c>
      <c r="I6" s="858"/>
      <c r="J6" s="53" t="str">
        <f>+D6</f>
        <v>2016. előtt</v>
      </c>
      <c r="K6" s="54" t="str">
        <f>+F6</f>
        <v>2016. évi</v>
      </c>
      <c r="L6" s="53" t="s">
        <v>39</v>
      </c>
      <c r="M6" s="54" t="str">
        <f>+CONCATENATE("Teljesítés %-a ",LEFT(ÖSSZEFÜGGÉSEK!A4,4),". XII. 31-ig")</f>
        <v>Teljesítés %-a 2016. XII. 31-ig</v>
      </c>
      <c r="N6" s="842"/>
    </row>
    <row r="7" spans="1:14" ht="13.5" thickBot="1">
      <c r="A7" s="55" t="s">
        <v>409</v>
      </c>
      <c r="B7" s="53" t="s">
        <v>410</v>
      </c>
      <c r="C7" s="53" t="s">
        <v>411</v>
      </c>
      <c r="D7" s="56" t="s">
        <v>412</v>
      </c>
      <c r="E7" s="54" t="s">
        <v>413</v>
      </c>
      <c r="F7" s="54" t="s">
        <v>490</v>
      </c>
      <c r="G7" s="54" t="s">
        <v>491</v>
      </c>
      <c r="H7" s="53" t="s">
        <v>492</v>
      </c>
      <c r="I7" s="56" t="s">
        <v>493</v>
      </c>
      <c r="J7" s="56" t="s">
        <v>537</v>
      </c>
      <c r="K7" s="56" t="s">
        <v>538</v>
      </c>
      <c r="L7" s="56" t="s">
        <v>539</v>
      </c>
      <c r="M7" s="57" t="s">
        <v>540</v>
      </c>
      <c r="N7" s="842"/>
    </row>
    <row r="8" spans="1:14">
      <c r="A8" s="58" t="s">
        <v>93</v>
      </c>
      <c r="B8" s="59"/>
      <c r="C8" s="79"/>
      <c r="D8" s="79"/>
      <c r="E8" s="90"/>
      <c r="F8" s="79"/>
      <c r="G8" s="79"/>
      <c r="H8" s="79"/>
      <c r="I8" s="79"/>
      <c r="J8" s="79"/>
      <c r="K8" s="79"/>
      <c r="L8" s="60">
        <f t="shared" ref="L8:L14" si="0">+J8+K8</f>
        <v>0</v>
      </c>
      <c r="M8" s="94" t="str">
        <f>IF((C8&lt;&gt;0),ROUND((L8/C8)*100,1),"")</f>
        <v/>
      </c>
      <c r="N8" s="842"/>
    </row>
    <row r="9" spans="1:14">
      <c r="A9" s="61" t="s">
        <v>105</v>
      </c>
      <c r="B9" s="62"/>
      <c r="C9" s="63"/>
      <c r="D9" s="63"/>
      <c r="E9" s="63"/>
      <c r="F9" s="63"/>
      <c r="G9" s="63"/>
      <c r="H9" s="63"/>
      <c r="I9" s="63"/>
      <c r="J9" s="63"/>
      <c r="K9" s="63"/>
      <c r="L9" s="64">
        <f t="shared" si="0"/>
        <v>0</v>
      </c>
      <c r="M9" s="95" t="str">
        <f t="shared" ref="M9:M14" si="1">IF((C9&lt;&gt;0),ROUND((L9/C9)*100,1),"")</f>
        <v/>
      </c>
      <c r="N9" s="842"/>
    </row>
    <row r="10" spans="1:14">
      <c r="A10" s="65" t="s">
        <v>94</v>
      </c>
      <c r="B10" s="66"/>
      <c r="C10" s="82"/>
      <c r="D10" s="82"/>
      <c r="E10" s="82"/>
      <c r="F10" s="82"/>
      <c r="G10" s="82"/>
      <c r="H10" s="82"/>
      <c r="I10" s="82"/>
      <c r="J10" s="82"/>
      <c r="K10" s="82"/>
      <c r="L10" s="64">
        <f t="shared" si="0"/>
        <v>0</v>
      </c>
      <c r="M10" s="95" t="str">
        <f t="shared" si="1"/>
        <v/>
      </c>
      <c r="N10" s="842"/>
    </row>
    <row r="11" spans="1:14">
      <c r="A11" s="65" t="s">
        <v>106</v>
      </c>
      <c r="B11" s="66"/>
      <c r="C11" s="82"/>
      <c r="D11" s="82"/>
      <c r="E11" s="82"/>
      <c r="F11" s="82"/>
      <c r="G11" s="82"/>
      <c r="H11" s="82"/>
      <c r="I11" s="82"/>
      <c r="J11" s="82"/>
      <c r="K11" s="82"/>
      <c r="L11" s="64">
        <f t="shared" si="0"/>
        <v>0</v>
      </c>
      <c r="M11" s="95" t="str">
        <f t="shared" si="1"/>
        <v/>
      </c>
      <c r="N11" s="842"/>
    </row>
    <row r="12" spans="1:14">
      <c r="A12" s="65" t="s">
        <v>95</v>
      </c>
      <c r="B12" s="66"/>
      <c r="C12" s="82"/>
      <c r="D12" s="82"/>
      <c r="E12" s="82"/>
      <c r="F12" s="82"/>
      <c r="G12" s="82"/>
      <c r="H12" s="82"/>
      <c r="I12" s="82"/>
      <c r="J12" s="82"/>
      <c r="K12" s="82"/>
      <c r="L12" s="64">
        <f t="shared" si="0"/>
        <v>0</v>
      </c>
      <c r="M12" s="95" t="str">
        <f t="shared" si="1"/>
        <v/>
      </c>
      <c r="N12" s="842"/>
    </row>
    <row r="13" spans="1:14">
      <c r="A13" s="65" t="s">
        <v>96</v>
      </c>
      <c r="B13" s="66"/>
      <c r="C13" s="82"/>
      <c r="D13" s="82"/>
      <c r="E13" s="82"/>
      <c r="F13" s="82"/>
      <c r="G13" s="82"/>
      <c r="H13" s="82"/>
      <c r="I13" s="82"/>
      <c r="J13" s="82"/>
      <c r="K13" s="82"/>
      <c r="L13" s="64">
        <f t="shared" si="0"/>
        <v>0</v>
      </c>
      <c r="M13" s="95" t="str">
        <f t="shared" si="1"/>
        <v/>
      </c>
      <c r="N13" s="842"/>
    </row>
    <row r="14" spans="1:14" ht="15" customHeight="1" thickBot="1">
      <c r="A14" s="67"/>
      <c r="B14" s="68"/>
      <c r="C14" s="86"/>
      <c r="D14" s="86"/>
      <c r="E14" s="86"/>
      <c r="F14" s="86"/>
      <c r="G14" s="86"/>
      <c r="H14" s="86"/>
      <c r="I14" s="86"/>
      <c r="J14" s="86"/>
      <c r="K14" s="86"/>
      <c r="L14" s="64">
        <f t="shared" si="0"/>
        <v>0</v>
      </c>
      <c r="M14" s="96" t="str">
        <f t="shared" si="1"/>
        <v/>
      </c>
      <c r="N14" s="842"/>
    </row>
    <row r="15" spans="1:14" ht="13.5" thickBot="1">
      <c r="A15" s="69" t="s">
        <v>98</v>
      </c>
      <c r="B15" s="70">
        <f>B8+SUM(B10:B14)</f>
        <v>0</v>
      </c>
      <c r="C15" s="70">
        <f t="shared" ref="C15:L15" si="2">C8+SUM(C10:C14)</f>
        <v>0</v>
      </c>
      <c r="D15" s="70">
        <f t="shared" si="2"/>
        <v>0</v>
      </c>
      <c r="E15" s="70">
        <f t="shared" si="2"/>
        <v>0</v>
      </c>
      <c r="F15" s="70">
        <f t="shared" si="2"/>
        <v>0</v>
      </c>
      <c r="G15" s="70">
        <f t="shared" si="2"/>
        <v>0</v>
      </c>
      <c r="H15" s="70">
        <f t="shared" si="2"/>
        <v>0</v>
      </c>
      <c r="I15" s="70">
        <f t="shared" si="2"/>
        <v>0</v>
      </c>
      <c r="J15" s="70">
        <f t="shared" si="2"/>
        <v>0</v>
      </c>
      <c r="K15" s="70">
        <f t="shared" si="2"/>
        <v>0</v>
      </c>
      <c r="L15" s="70">
        <f t="shared" si="2"/>
        <v>0</v>
      </c>
      <c r="M15" s="71" t="str">
        <f>IF((C15&lt;&gt;0),ROUND((L15/C15)*100,1),"")</f>
        <v/>
      </c>
      <c r="N15" s="842"/>
    </row>
    <row r="16" spans="1:14">
      <c r="A16" s="72"/>
      <c r="B16" s="73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842"/>
    </row>
    <row r="17" spans="1:14" ht="13.5" thickBot="1">
      <c r="A17" s="75" t="s">
        <v>97</v>
      </c>
      <c r="B17" s="76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842"/>
    </row>
    <row r="18" spans="1:14">
      <c r="A18" s="78" t="s">
        <v>101</v>
      </c>
      <c r="B18" s="59"/>
      <c r="C18" s="79"/>
      <c r="D18" s="79"/>
      <c r="E18" s="90"/>
      <c r="F18" s="79"/>
      <c r="G18" s="79"/>
      <c r="H18" s="79"/>
      <c r="I18" s="79"/>
      <c r="J18" s="79"/>
      <c r="K18" s="79"/>
      <c r="L18" s="80">
        <f t="shared" ref="L18:L23" si="3">+J18+K18</f>
        <v>0</v>
      </c>
      <c r="M18" s="94" t="str">
        <f t="shared" ref="M18:M24" si="4">IF((C18&lt;&gt;0),ROUND((L18/C18)*100,1),"")</f>
        <v/>
      </c>
      <c r="N18" s="842"/>
    </row>
    <row r="19" spans="1:14">
      <c r="A19" s="81" t="s">
        <v>102</v>
      </c>
      <c r="B19" s="62"/>
      <c r="C19" s="82"/>
      <c r="D19" s="82"/>
      <c r="E19" s="82"/>
      <c r="F19" s="82"/>
      <c r="G19" s="82"/>
      <c r="H19" s="82"/>
      <c r="I19" s="82"/>
      <c r="J19" s="82"/>
      <c r="K19" s="82"/>
      <c r="L19" s="83">
        <f t="shared" si="3"/>
        <v>0</v>
      </c>
      <c r="M19" s="95" t="str">
        <f t="shared" si="4"/>
        <v/>
      </c>
      <c r="N19" s="842"/>
    </row>
    <row r="20" spans="1:14">
      <c r="A20" s="81" t="s">
        <v>103</v>
      </c>
      <c r="B20" s="66"/>
      <c r="C20" s="82"/>
      <c r="D20" s="82"/>
      <c r="E20" s="82"/>
      <c r="F20" s="82"/>
      <c r="G20" s="82"/>
      <c r="H20" s="82"/>
      <c r="I20" s="82"/>
      <c r="J20" s="82"/>
      <c r="K20" s="82"/>
      <c r="L20" s="83">
        <f t="shared" si="3"/>
        <v>0</v>
      </c>
      <c r="M20" s="95" t="str">
        <f t="shared" si="4"/>
        <v/>
      </c>
      <c r="N20" s="842"/>
    </row>
    <row r="21" spans="1:14">
      <c r="A21" s="81" t="s">
        <v>104</v>
      </c>
      <c r="B21" s="66"/>
      <c r="C21" s="82"/>
      <c r="D21" s="82"/>
      <c r="E21" s="82"/>
      <c r="F21" s="82"/>
      <c r="G21" s="82"/>
      <c r="H21" s="82"/>
      <c r="I21" s="82"/>
      <c r="J21" s="82"/>
      <c r="K21" s="82"/>
      <c r="L21" s="83">
        <f t="shared" si="3"/>
        <v>0</v>
      </c>
      <c r="M21" s="95" t="str">
        <f t="shared" si="4"/>
        <v/>
      </c>
      <c r="N21" s="842"/>
    </row>
    <row r="22" spans="1:14">
      <c r="A22" s="84"/>
      <c r="B22" s="66"/>
      <c r="C22" s="82"/>
      <c r="D22" s="82"/>
      <c r="E22" s="82"/>
      <c r="F22" s="82"/>
      <c r="G22" s="82"/>
      <c r="H22" s="82"/>
      <c r="I22" s="82"/>
      <c r="J22" s="82"/>
      <c r="K22" s="82"/>
      <c r="L22" s="83">
        <f t="shared" si="3"/>
        <v>0</v>
      </c>
      <c r="M22" s="95" t="str">
        <f t="shared" si="4"/>
        <v/>
      </c>
      <c r="N22" s="842"/>
    </row>
    <row r="23" spans="1:14" ht="13.5" thickBot="1">
      <c r="A23" s="85"/>
      <c r="B23" s="68"/>
      <c r="C23" s="86"/>
      <c r="D23" s="86"/>
      <c r="E23" s="86"/>
      <c r="F23" s="86"/>
      <c r="G23" s="86"/>
      <c r="H23" s="86"/>
      <c r="I23" s="86"/>
      <c r="J23" s="86"/>
      <c r="K23" s="86"/>
      <c r="L23" s="83">
        <f t="shared" si="3"/>
        <v>0</v>
      </c>
      <c r="M23" s="96" t="str">
        <f t="shared" si="4"/>
        <v/>
      </c>
      <c r="N23" s="842"/>
    </row>
    <row r="24" spans="1:14" ht="13.5" thickBot="1">
      <c r="A24" s="87" t="s">
        <v>82</v>
      </c>
      <c r="B24" s="70">
        <f t="shared" ref="B24:L24" si="5">SUM(B18:B23)</f>
        <v>0</v>
      </c>
      <c r="C24" s="70">
        <f t="shared" si="5"/>
        <v>0</v>
      </c>
      <c r="D24" s="70">
        <f t="shared" si="5"/>
        <v>0</v>
      </c>
      <c r="E24" s="70">
        <f t="shared" si="5"/>
        <v>0</v>
      </c>
      <c r="F24" s="70">
        <f t="shared" si="5"/>
        <v>0</v>
      </c>
      <c r="G24" s="70">
        <f t="shared" si="5"/>
        <v>0</v>
      </c>
      <c r="H24" s="70">
        <f t="shared" si="5"/>
        <v>0</v>
      </c>
      <c r="I24" s="70">
        <f t="shared" si="5"/>
        <v>0</v>
      </c>
      <c r="J24" s="70">
        <f t="shared" si="5"/>
        <v>0</v>
      </c>
      <c r="K24" s="70">
        <f t="shared" si="5"/>
        <v>0</v>
      </c>
      <c r="L24" s="70">
        <f t="shared" si="5"/>
        <v>0</v>
      </c>
      <c r="M24" s="71" t="str">
        <f t="shared" si="4"/>
        <v/>
      </c>
      <c r="N24" s="842"/>
    </row>
    <row r="25" spans="1:14">
      <c r="A25" s="853" t="s">
        <v>179</v>
      </c>
      <c r="B25" s="853"/>
      <c r="C25" s="853"/>
      <c r="D25" s="853"/>
      <c r="E25" s="853"/>
      <c r="F25" s="853"/>
      <c r="G25" s="853"/>
      <c r="H25" s="853"/>
      <c r="I25" s="853"/>
      <c r="J25" s="853"/>
      <c r="K25" s="853"/>
      <c r="L25" s="853"/>
      <c r="M25" s="853"/>
      <c r="N25" s="842"/>
    </row>
    <row r="26" spans="1:14" ht="5.25" customHeight="1">
      <c r="A26" s="88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42"/>
    </row>
    <row r="27" spans="1:14" ht="15.75">
      <c r="A27" s="859" t="str">
        <f>+CONCATENATE("Önkormányzaton kívüli EU-s projekthez történő hozzájárulás ",LEFT(ÖSSZEFÜGGÉSEK!A4,4),". évi előirányzata és teljesítése")</f>
        <v>Önkormányzaton kívüli EU-s projekthez történő hozzájárulás 2016. évi előirányzata és teljesítése</v>
      </c>
      <c r="B27" s="859"/>
      <c r="C27" s="859"/>
      <c r="D27" s="859"/>
      <c r="E27" s="859"/>
      <c r="F27" s="859"/>
      <c r="G27" s="859"/>
      <c r="H27" s="859"/>
      <c r="I27" s="859"/>
      <c r="J27" s="859"/>
      <c r="K27" s="859"/>
      <c r="L27" s="859"/>
      <c r="M27" s="859"/>
      <c r="N27" s="842"/>
    </row>
    <row r="28" spans="1:14" ht="12" customHeight="1" thickBo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854" t="s">
        <v>51</v>
      </c>
      <c r="M28" s="854"/>
      <c r="N28" s="842"/>
    </row>
    <row r="29" spans="1:14" ht="21.75" thickBot="1">
      <c r="A29" s="849" t="s">
        <v>99</v>
      </c>
      <c r="B29" s="850"/>
      <c r="C29" s="850"/>
      <c r="D29" s="850"/>
      <c r="E29" s="850"/>
      <c r="F29" s="850"/>
      <c r="G29" s="850"/>
      <c r="H29" s="850"/>
      <c r="I29" s="850"/>
      <c r="J29" s="850"/>
      <c r="K29" s="89" t="s">
        <v>659</v>
      </c>
      <c r="L29" s="89" t="s">
        <v>658</v>
      </c>
      <c r="M29" s="89" t="s">
        <v>184</v>
      </c>
      <c r="N29" s="842"/>
    </row>
    <row r="30" spans="1:14">
      <c r="A30" s="843"/>
      <c r="B30" s="844"/>
      <c r="C30" s="844"/>
      <c r="D30" s="844"/>
      <c r="E30" s="844"/>
      <c r="F30" s="844"/>
      <c r="G30" s="844"/>
      <c r="H30" s="844"/>
      <c r="I30" s="844"/>
      <c r="J30" s="844"/>
      <c r="K30" s="90"/>
      <c r="L30" s="91"/>
      <c r="M30" s="91"/>
      <c r="N30" s="842"/>
    </row>
    <row r="31" spans="1:14" ht="13.5" thickBot="1">
      <c r="A31" s="845"/>
      <c r="B31" s="846"/>
      <c r="C31" s="846"/>
      <c r="D31" s="846"/>
      <c r="E31" s="846"/>
      <c r="F31" s="846"/>
      <c r="G31" s="846"/>
      <c r="H31" s="846"/>
      <c r="I31" s="846"/>
      <c r="J31" s="846"/>
      <c r="K31" s="92"/>
      <c r="L31" s="86"/>
      <c r="M31" s="86"/>
      <c r="N31" s="842"/>
    </row>
    <row r="32" spans="1:14" ht="13.5" thickBot="1">
      <c r="A32" s="856" t="s">
        <v>40</v>
      </c>
      <c r="B32" s="857"/>
      <c r="C32" s="857"/>
      <c r="D32" s="857"/>
      <c r="E32" s="857"/>
      <c r="F32" s="857"/>
      <c r="G32" s="857"/>
      <c r="H32" s="857"/>
      <c r="I32" s="857"/>
      <c r="J32" s="857"/>
      <c r="K32" s="93">
        <f>SUM(K30:K31)</f>
        <v>0</v>
      </c>
      <c r="L32" s="93">
        <f>SUM(L30:L31)</f>
        <v>0</v>
      </c>
      <c r="M32" s="93">
        <f>SUM(M30:M31)</f>
        <v>0</v>
      </c>
      <c r="N32" s="842"/>
    </row>
    <row r="33" spans="1:14">
      <c r="N33" s="842"/>
    </row>
    <row r="48" spans="1:14">
      <c r="A48" s="9"/>
    </row>
  </sheetData>
  <mergeCells count="21">
    <mergeCell ref="L2:M2"/>
    <mergeCell ref="C4:C5"/>
    <mergeCell ref="D6:E6"/>
    <mergeCell ref="A3:A6"/>
    <mergeCell ref="H6:I6"/>
    <mergeCell ref="A1:C1"/>
    <mergeCell ref="F6:G6"/>
    <mergeCell ref="N1:N33"/>
    <mergeCell ref="A30:J30"/>
    <mergeCell ref="A31:J31"/>
    <mergeCell ref="J3:M5"/>
    <mergeCell ref="A29:J29"/>
    <mergeCell ref="D4:I4"/>
    <mergeCell ref="D1:M1"/>
    <mergeCell ref="A25:M25"/>
    <mergeCell ref="B6:C6"/>
    <mergeCell ref="L28:M28"/>
    <mergeCell ref="B3:I3"/>
    <mergeCell ref="A32:J32"/>
    <mergeCell ref="B4:B5"/>
    <mergeCell ref="A27:M27"/>
  </mergeCells>
  <phoneticPr fontId="27" type="noConversion"/>
  <printOptions horizontalCentered="1"/>
  <pageMargins left="0.78740157480314965" right="0.78740157480314965" top="1.39" bottom="0.78" header="0.78740157480314965" footer="0.78740157480314965"/>
  <pageSetup paperSize="9" scale="94" orientation="landscape" r:id="rId1"/>
  <headerFooter alignWithMargins="0">
    <oddHeader>&amp;C&amp;"Times New Roman CE,Félkövér"&amp;12
Európai uniós támogatással megvalósuló projektek 
bevételei, kiadásai, hozzájárulások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Munka4">
    <tabColor rgb="FF92D050"/>
  </sheetPr>
  <dimension ref="A1:K149"/>
  <sheetViews>
    <sheetView view="pageBreakPreview" zoomScaleNormal="100" zoomScaleSheetLayoutView="100" workbookViewId="0">
      <selection activeCell="E2" sqref="E2"/>
    </sheetView>
  </sheetViews>
  <sheetFormatPr defaultRowHeight="12.75"/>
  <cols>
    <col min="1" max="1" width="14.83203125" style="515" customWidth="1"/>
    <col min="2" max="2" width="65.33203125" style="516" customWidth="1"/>
    <col min="3" max="5" width="17" style="517" customWidth="1"/>
    <col min="6" max="16384" width="9.33203125" style="32"/>
  </cols>
  <sheetData>
    <row r="1" spans="1:5" s="491" customFormat="1" ht="16.5" customHeight="1" thickBot="1">
      <c r="A1" s="490"/>
      <c r="B1" s="492"/>
      <c r="C1" s="537"/>
      <c r="D1" s="502"/>
      <c r="E1" s="537" t="str">
        <f>+CONCATENATE("6.1. melléklet a 15/",LEFT(ÖSSZEFÜGGÉSEK!A4,4)+1,". (V. 30.) önkormányzati rendelethez")</f>
        <v>6.1. melléklet a 15/2017. (V. 30.) önkormányzati rendelethez</v>
      </c>
    </row>
    <row r="2" spans="1:5" s="538" customFormat="1" ht="15.75" customHeight="1">
      <c r="A2" s="518" t="s">
        <v>52</v>
      </c>
      <c r="B2" s="866" t="s">
        <v>731</v>
      </c>
      <c r="C2" s="867"/>
      <c r="D2" s="868"/>
      <c r="E2" s="511" t="s">
        <v>41</v>
      </c>
    </row>
    <row r="3" spans="1:5" s="538" customFormat="1" ht="24.75" thickBot="1">
      <c r="A3" s="536" t="s">
        <v>542</v>
      </c>
      <c r="B3" s="869" t="s">
        <v>541</v>
      </c>
      <c r="C3" s="870"/>
      <c r="D3" s="871"/>
      <c r="E3" s="486" t="s">
        <v>41</v>
      </c>
    </row>
    <row r="4" spans="1:5" s="539" customFormat="1" ht="15.95" customHeight="1" thickBot="1">
      <c r="A4" s="493"/>
      <c r="B4" s="493"/>
      <c r="C4" s="494"/>
      <c r="D4" s="494"/>
      <c r="E4" s="494" t="s">
        <v>769</v>
      </c>
    </row>
    <row r="5" spans="1:5" ht="24.75" thickBot="1">
      <c r="A5" s="325" t="s">
        <v>148</v>
      </c>
      <c r="B5" s="326" t="s">
        <v>727</v>
      </c>
      <c r="C5" s="97" t="s">
        <v>178</v>
      </c>
      <c r="D5" s="97" t="s">
        <v>183</v>
      </c>
      <c r="E5" s="495" t="s">
        <v>184</v>
      </c>
    </row>
    <row r="6" spans="1:5" s="540" customFormat="1" ht="12.95" customHeight="1" thickBot="1">
      <c r="A6" s="488" t="s">
        <v>409</v>
      </c>
      <c r="B6" s="489" t="s">
        <v>410</v>
      </c>
      <c r="C6" s="489" t="s">
        <v>411</v>
      </c>
      <c r="D6" s="112" t="s">
        <v>412</v>
      </c>
      <c r="E6" s="110" t="s">
        <v>413</v>
      </c>
    </row>
    <row r="7" spans="1:5" s="540" customFormat="1" ht="15.95" customHeight="1" thickBot="1">
      <c r="A7" s="863" t="s">
        <v>42</v>
      </c>
      <c r="B7" s="864"/>
      <c r="C7" s="864"/>
      <c r="D7" s="864"/>
      <c r="E7" s="865"/>
    </row>
    <row r="8" spans="1:5" s="540" customFormat="1" ht="12" customHeight="1" thickBot="1">
      <c r="A8" s="357" t="s">
        <v>7</v>
      </c>
      <c r="B8" s="353" t="s">
        <v>301</v>
      </c>
      <c r="C8" s="384">
        <f>SUM(C9:C14)</f>
        <v>840689736</v>
      </c>
      <c r="D8" s="384">
        <f>SUM(D9:D14)</f>
        <v>525964684</v>
      </c>
      <c r="E8" s="367">
        <f>+'6.2. sz. mell'!E8+'6.3. sz. mell'!E8+'6.4. sz. mell'!E8</f>
        <v>520552427</v>
      </c>
    </row>
    <row r="9" spans="1:5" s="514" customFormat="1" ht="12" customHeight="1">
      <c r="A9" s="524" t="s">
        <v>71</v>
      </c>
      <c r="B9" s="395" t="s">
        <v>302</v>
      </c>
      <c r="C9" s="386">
        <v>165437120</v>
      </c>
      <c r="D9" s="386">
        <v>192926722</v>
      </c>
      <c r="E9" s="653">
        <f>+'6.2. sz. mell'!E9+'6.3. sz. mell'!E9+'6.4. sz. mell'!E9</f>
        <v>192926722</v>
      </c>
    </row>
    <row r="10" spans="1:5" s="541" customFormat="1" ht="12" customHeight="1">
      <c r="A10" s="525" t="s">
        <v>72</v>
      </c>
      <c r="B10" s="396" t="s">
        <v>303</v>
      </c>
      <c r="C10" s="385">
        <v>109277466</v>
      </c>
      <c r="D10" s="385">
        <v>109277466</v>
      </c>
      <c r="E10" s="657">
        <f>+'6.2. sz. mell'!E10+'6.3. sz. mell'!E10+'6.4. sz. mell'!E10</f>
        <v>110520500</v>
      </c>
    </row>
    <row r="11" spans="1:5" s="541" customFormat="1" ht="12" customHeight="1">
      <c r="A11" s="525" t="s">
        <v>73</v>
      </c>
      <c r="B11" s="396" t="s">
        <v>304</v>
      </c>
      <c r="C11" s="385">
        <v>176005244</v>
      </c>
      <c r="D11" s="385">
        <v>175654694</v>
      </c>
      <c r="E11" s="655">
        <f>+'6.2. sz. mell'!E11+'6.3. sz. mell'!E11+'6.4. sz. mell'!E11</f>
        <v>178590993</v>
      </c>
    </row>
    <row r="12" spans="1:5" s="541" customFormat="1" ht="12" customHeight="1">
      <c r="A12" s="525" t="s">
        <v>74</v>
      </c>
      <c r="B12" s="396" t="s">
        <v>305</v>
      </c>
      <c r="C12" s="385">
        <v>8016480</v>
      </c>
      <c r="D12" s="385">
        <v>8016480</v>
      </c>
      <c r="E12" s="655">
        <f>+'6.2. sz. mell'!E12+'6.3. sz. mell'!E12+'6.4. sz. mell'!E12</f>
        <v>8395763</v>
      </c>
    </row>
    <row r="13" spans="1:5" s="541" customFormat="1" ht="12" customHeight="1">
      <c r="A13" s="525" t="s">
        <v>107</v>
      </c>
      <c r="B13" s="396" t="s">
        <v>306</v>
      </c>
      <c r="C13" s="385">
        <f>376281448+5671978</f>
        <v>381953426</v>
      </c>
      <c r="D13" s="385">
        <f>40067891+21431</f>
        <v>40089322</v>
      </c>
      <c r="E13" s="655">
        <f>+'6.2. sz. mell'!E13+'6.3. sz. mell'!E13+'6.4. sz. mell'!E13</f>
        <v>0</v>
      </c>
    </row>
    <row r="14" spans="1:5" s="514" customFormat="1" ht="12" customHeight="1" thickBot="1">
      <c r="A14" s="526" t="s">
        <v>75</v>
      </c>
      <c r="B14" s="376" t="s">
        <v>307</v>
      </c>
      <c r="C14" s="387"/>
      <c r="D14" s="387"/>
      <c r="E14" s="652">
        <f>+'6.2. sz. mell'!E14+'6.3. sz. mell'!E14+'6.4. sz. mell'!E14</f>
        <v>30118449</v>
      </c>
    </row>
    <row r="15" spans="1:5" s="514" customFormat="1" ht="12" customHeight="1" thickBot="1">
      <c r="A15" s="357" t="s">
        <v>8</v>
      </c>
      <c r="B15" s="374" t="s">
        <v>308</v>
      </c>
      <c r="C15" s="384">
        <f>SUM(C16:C20)</f>
        <v>0</v>
      </c>
      <c r="D15" s="384">
        <f>SUM(D16:D20)</f>
        <v>363394652</v>
      </c>
      <c r="E15" s="367">
        <f>+'6.2. sz. mell'!E15+'6.3. sz. mell'!E15+'6.4. sz. mell'!E15</f>
        <v>398689976</v>
      </c>
    </row>
    <row r="16" spans="1:5" s="514" customFormat="1" ht="12" customHeight="1">
      <c r="A16" s="524" t="s">
        <v>77</v>
      </c>
      <c r="B16" s="395" t="s">
        <v>309</v>
      </c>
      <c r="C16" s="386"/>
      <c r="D16" s="386"/>
      <c r="E16" s="338">
        <f>+'6.2. sz. mell'!E16+'6.3. sz. mell'!E16+'6.4. sz. mell'!E16</f>
        <v>0</v>
      </c>
    </row>
    <row r="17" spans="1:5" s="514" customFormat="1" ht="12" customHeight="1">
      <c r="A17" s="525" t="s">
        <v>78</v>
      </c>
      <c r="B17" s="396" t="s">
        <v>310</v>
      </c>
      <c r="C17" s="385"/>
      <c r="D17" s="385"/>
      <c r="E17" s="655">
        <f>+'6.2. sz. mell'!E17+'6.3. sz. mell'!E17+'6.4. sz. mell'!E17</f>
        <v>0</v>
      </c>
    </row>
    <row r="18" spans="1:5" s="514" customFormat="1" ht="12" customHeight="1">
      <c r="A18" s="525" t="s">
        <v>79</v>
      </c>
      <c r="B18" s="396" t="s">
        <v>311</v>
      </c>
      <c r="C18" s="385"/>
      <c r="D18" s="385"/>
      <c r="E18" s="657">
        <f>+'6.2. sz. mell'!E18+'6.3. sz. mell'!E18+'6.4. sz. mell'!E18</f>
        <v>0</v>
      </c>
    </row>
    <row r="19" spans="1:5" s="514" customFormat="1" ht="12" customHeight="1">
      <c r="A19" s="525" t="s">
        <v>80</v>
      </c>
      <c r="B19" s="396" t="s">
        <v>312</v>
      </c>
      <c r="C19" s="385"/>
      <c r="D19" s="385"/>
      <c r="E19" s="655">
        <f>+'6.2. sz. mell'!E19+'6.3. sz. mell'!E19+'6.4. sz. mell'!E19</f>
        <v>0</v>
      </c>
    </row>
    <row r="20" spans="1:5" s="514" customFormat="1" ht="12" customHeight="1">
      <c r="A20" s="525" t="s">
        <v>81</v>
      </c>
      <c r="B20" s="396" t="s">
        <v>313</v>
      </c>
      <c r="C20" s="385"/>
      <c r="D20" s="385">
        <v>363394652</v>
      </c>
      <c r="E20" s="655">
        <f>+'6.2. sz. mell'!E20+'6.3. sz. mell'!E20+'6.4. sz. mell'!E20</f>
        <v>398689976</v>
      </c>
    </row>
    <row r="21" spans="1:5" s="541" customFormat="1" ht="12" customHeight="1" thickBot="1">
      <c r="A21" s="526" t="s">
        <v>88</v>
      </c>
      <c r="B21" s="376" t="s">
        <v>314</v>
      </c>
      <c r="C21" s="387"/>
      <c r="D21" s="387"/>
      <c r="E21" s="652">
        <f>+'6.2. sz. mell'!E21+'6.3. sz. mell'!E21+'6.4. sz. mell'!E21</f>
        <v>0</v>
      </c>
    </row>
    <row r="22" spans="1:5" s="541" customFormat="1" ht="12" customHeight="1" thickBot="1">
      <c r="A22" s="357" t="s">
        <v>9</v>
      </c>
      <c r="B22" s="353" t="s">
        <v>315</v>
      </c>
      <c r="C22" s="384">
        <f>SUM(C23:C27)</f>
        <v>0</v>
      </c>
      <c r="D22" s="384">
        <f>SUM(D23:D27)</f>
        <v>25271550</v>
      </c>
      <c r="E22" s="367">
        <f>+'6.2. sz. mell'!E22+'6.3. sz. mell'!E22+'6.4. sz. mell'!E22</f>
        <v>54062786</v>
      </c>
    </row>
    <row r="23" spans="1:5" s="541" customFormat="1" ht="12" customHeight="1">
      <c r="A23" s="524" t="s">
        <v>60</v>
      </c>
      <c r="B23" s="395" t="s">
        <v>316</v>
      </c>
      <c r="C23" s="386"/>
      <c r="D23" s="386">
        <v>15229000</v>
      </c>
      <c r="E23" s="338">
        <f>+'6.2. sz. mell'!E23+'6.3. sz. mell'!E23+'6.4. sz. mell'!E23</f>
        <v>15229000</v>
      </c>
    </row>
    <row r="24" spans="1:5" s="514" customFormat="1" ht="12" customHeight="1">
      <c r="A24" s="525" t="s">
        <v>61</v>
      </c>
      <c r="B24" s="396" t="s">
        <v>317</v>
      </c>
      <c r="C24" s="385"/>
      <c r="D24" s="385"/>
      <c r="E24" s="655">
        <f>+'6.2. sz. mell'!E24+'6.3. sz. mell'!E24+'6.4. sz. mell'!E24</f>
        <v>0</v>
      </c>
    </row>
    <row r="25" spans="1:5" s="541" customFormat="1" ht="12" customHeight="1">
      <c r="A25" s="525" t="s">
        <v>62</v>
      </c>
      <c r="B25" s="396" t="s">
        <v>318</v>
      </c>
      <c r="C25" s="385"/>
      <c r="D25" s="385"/>
      <c r="E25" s="657">
        <f>+'6.2. sz. mell'!E25+'6.3. sz. mell'!E25+'6.4. sz. mell'!E25</f>
        <v>0</v>
      </c>
    </row>
    <row r="26" spans="1:5" s="541" customFormat="1" ht="12" customHeight="1">
      <c r="A26" s="525" t="s">
        <v>63</v>
      </c>
      <c r="B26" s="396" t="s">
        <v>319</v>
      </c>
      <c r="C26" s="385"/>
      <c r="D26" s="385"/>
      <c r="E26" s="655">
        <f>+'6.2. sz. mell'!E26+'6.3. sz. mell'!E26+'6.4. sz. mell'!E26</f>
        <v>0</v>
      </c>
    </row>
    <row r="27" spans="1:5" s="541" customFormat="1" ht="12" customHeight="1">
      <c r="A27" s="525" t="s">
        <v>121</v>
      </c>
      <c r="B27" s="396" t="s">
        <v>320</v>
      </c>
      <c r="C27" s="385"/>
      <c r="D27" s="385">
        <v>10042550</v>
      </c>
      <c r="E27" s="655">
        <f>+'6.2. sz. mell'!E27+'6.3. sz. mell'!E27+'6.4. sz. mell'!E27</f>
        <v>38833786</v>
      </c>
    </row>
    <row r="28" spans="1:5" s="541" customFormat="1" ht="12" customHeight="1" thickBot="1">
      <c r="A28" s="526" t="s">
        <v>122</v>
      </c>
      <c r="B28" s="397" t="s">
        <v>321</v>
      </c>
      <c r="C28" s="387"/>
      <c r="D28" s="387"/>
      <c r="E28" s="652">
        <f>+'6.2. sz. mell'!E28+'6.3. sz. mell'!E28+'6.4. sz. mell'!E28</f>
        <v>0</v>
      </c>
    </row>
    <row r="29" spans="1:5" s="541" customFormat="1" ht="12" customHeight="1" thickBot="1">
      <c r="A29" s="357" t="s">
        <v>123</v>
      </c>
      <c r="B29" s="353" t="s">
        <v>718</v>
      </c>
      <c r="C29" s="390">
        <f>SUM(C30:C35)</f>
        <v>96540000</v>
      </c>
      <c r="D29" s="390">
        <f>SUM(D30:D35)</f>
        <v>96540000</v>
      </c>
      <c r="E29" s="367">
        <f>+'6.2. sz. mell'!E29+'6.3. sz. mell'!E29+'6.4. sz. mell'!E29</f>
        <v>103820481</v>
      </c>
    </row>
    <row r="30" spans="1:5" s="541" customFormat="1" ht="12" customHeight="1">
      <c r="A30" s="524" t="s">
        <v>322</v>
      </c>
      <c r="B30" s="395" t="s">
        <v>722</v>
      </c>
      <c r="C30" s="386"/>
      <c r="D30" s="386"/>
      <c r="E30" s="338">
        <f>+'6.2. sz. mell'!E30+'6.3. sz. mell'!E30+'6.4. sz. mell'!E30</f>
        <v>0</v>
      </c>
    </row>
    <row r="31" spans="1:5" s="541" customFormat="1" ht="12" customHeight="1">
      <c r="A31" s="525" t="s">
        <v>323</v>
      </c>
      <c r="B31" s="396" t="s">
        <v>723</v>
      </c>
      <c r="C31" s="385"/>
      <c r="D31" s="385"/>
      <c r="E31" s="655">
        <f>+'6.2. sz. mell'!E31+'6.3. sz. mell'!E31+'6.4. sz. mell'!E31</f>
        <v>0</v>
      </c>
    </row>
    <row r="32" spans="1:5" s="541" customFormat="1" ht="12" customHeight="1">
      <c r="A32" s="525" t="s">
        <v>324</v>
      </c>
      <c r="B32" s="396" t="s">
        <v>724</v>
      </c>
      <c r="C32" s="385">
        <v>67800000</v>
      </c>
      <c r="D32" s="385">
        <v>67800000</v>
      </c>
      <c r="E32" s="657">
        <f>+'6.2. sz. mell'!E32+'6.3. sz. mell'!E32+'6.4. sz. mell'!E32</f>
        <v>72857761</v>
      </c>
    </row>
    <row r="33" spans="1:5" s="541" customFormat="1" ht="12" customHeight="1">
      <c r="A33" s="525" t="s">
        <v>737</v>
      </c>
      <c r="B33" s="396" t="s">
        <v>725</v>
      </c>
      <c r="C33" s="385">
        <v>40000</v>
      </c>
      <c r="D33" s="385">
        <v>40000</v>
      </c>
      <c r="E33" s="655">
        <f>+'6.2. sz. mell'!E33+'6.3. sz. mell'!E33+'6.4. sz. mell'!E33</f>
        <v>25200</v>
      </c>
    </row>
    <row r="34" spans="1:5" s="541" customFormat="1" ht="12" customHeight="1">
      <c r="A34" s="525" t="s">
        <v>719</v>
      </c>
      <c r="B34" s="396" t="s">
        <v>747</v>
      </c>
      <c r="C34" s="385">
        <v>13500000</v>
      </c>
      <c r="D34" s="385">
        <v>13500000</v>
      </c>
      <c r="E34" s="655">
        <f>+'6.2. sz. mell'!E34+'6.3. sz. mell'!E34+'6.4. sz. mell'!E34</f>
        <v>13426610</v>
      </c>
    </row>
    <row r="35" spans="1:5" s="541" customFormat="1" ht="12" customHeight="1" thickBot="1">
      <c r="A35" s="526" t="s">
        <v>721</v>
      </c>
      <c r="B35" s="376" t="s">
        <v>326</v>
      </c>
      <c r="C35" s="387">
        <v>15200000</v>
      </c>
      <c r="D35" s="387">
        <v>15200000</v>
      </c>
      <c r="E35" s="652">
        <f>+'6.2. sz. mell'!E35+'6.3. sz. mell'!E35+'6.4. sz. mell'!E35</f>
        <v>17510910</v>
      </c>
    </row>
    <row r="36" spans="1:5" s="541" customFormat="1" ht="12" customHeight="1" thickBot="1">
      <c r="A36" s="357" t="s">
        <v>11</v>
      </c>
      <c r="B36" s="353" t="s">
        <v>327</v>
      </c>
      <c r="C36" s="384">
        <f>SUM(C37:C46)</f>
        <v>32189000</v>
      </c>
      <c r="D36" s="384">
        <f>SUM(D37:D46)</f>
        <v>37493000</v>
      </c>
      <c r="E36" s="367">
        <f>+'6.2. sz. mell'!E36+'6.3. sz. mell'!E36+'6.4. sz. mell'!E36</f>
        <v>29431461</v>
      </c>
    </row>
    <row r="37" spans="1:5" s="541" customFormat="1" ht="12" customHeight="1">
      <c r="A37" s="524" t="s">
        <v>64</v>
      </c>
      <c r="B37" s="395" t="s">
        <v>328</v>
      </c>
      <c r="C37" s="386">
        <v>7087000</v>
      </c>
      <c r="D37" s="386">
        <v>7087000</v>
      </c>
      <c r="E37" s="338">
        <f>+'6.2. sz. mell'!E37+'6.3. sz. mell'!E37+'6.4. sz. mell'!E37</f>
        <v>781982</v>
      </c>
    </row>
    <row r="38" spans="1:5" s="541" customFormat="1" ht="12" customHeight="1">
      <c r="A38" s="525" t="s">
        <v>65</v>
      </c>
      <c r="B38" s="396" t="s">
        <v>329</v>
      </c>
      <c r="C38" s="385">
        <v>11300000</v>
      </c>
      <c r="D38" s="385">
        <v>13300000</v>
      </c>
      <c r="E38" s="655">
        <f>+'6.2. sz. mell'!E38+'6.3. sz. mell'!E38+'6.4. sz. mell'!E38</f>
        <v>11131341</v>
      </c>
    </row>
    <row r="39" spans="1:5" s="541" customFormat="1" ht="12" customHeight="1">
      <c r="A39" s="525" t="s">
        <v>66</v>
      </c>
      <c r="B39" s="396" t="s">
        <v>330</v>
      </c>
      <c r="C39" s="385">
        <v>1500000</v>
      </c>
      <c r="D39" s="385">
        <v>1500000</v>
      </c>
      <c r="E39" s="657">
        <f>+'6.2. sz. mell'!E39+'6.3. sz. mell'!E39+'6.4. sz. mell'!E39</f>
        <v>1326491</v>
      </c>
    </row>
    <row r="40" spans="1:5" s="541" customFormat="1" ht="12" customHeight="1">
      <c r="A40" s="525" t="s">
        <v>125</v>
      </c>
      <c r="B40" s="396" t="s">
        <v>331</v>
      </c>
      <c r="C40" s="385">
        <v>3500000</v>
      </c>
      <c r="D40" s="385">
        <v>3500000</v>
      </c>
      <c r="E40" s="655">
        <f>+'6.2. sz. mell'!E40+'6.3. sz. mell'!E40+'6.4. sz. mell'!E40</f>
        <v>0</v>
      </c>
    </row>
    <row r="41" spans="1:5" s="541" customFormat="1" ht="12" customHeight="1">
      <c r="A41" s="525" t="s">
        <v>126</v>
      </c>
      <c r="B41" s="396" t="s">
        <v>332</v>
      </c>
      <c r="C41" s="385"/>
      <c r="D41" s="385"/>
      <c r="E41" s="655">
        <f>+'6.2. sz. mell'!E41+'6.3. sz. mell'!E41+'6.4. sz. mell'!E41</f>
        <v>0</v>
      </c>
    </row>
    <row r="42" spans="1:5" s="541" customFormat="1" ht="12" customHeight="1">
      <c r="A42" s="525" t="s">
        <v>127</v>
      </c>
      <c r="B42" s="396" t="s">
        <v>333</v>
      </c>
      <c r="C42" s="385">
        <v>8802000</v>
      </c>
      <c r="D42" s="385">
        <v>12106000</v>
      </c>
      <c r="E42" s="657">
        <f>+'6.2. sz. mell'!E42+'6.3. sz. mell'!E42+'6.4. sz. mell'!E42</f>
        <v>4868001</v>
      </c>
    </row>
    <row r="43" spans="1:5" s="541" customFormat="1" ht="12" customHeight="1">
      <c r="A43" s="525" t="s">
        <v>128</v>
      </c>
      <c r="B43" s="396" t="s">
        <v>334</v>
      </c>
      <c r="C43" s="385"/>
      <c r="D43" s="385"/>
      <c r="E43" s="655">
        <f>+'6.2. sz. mell'!E43+'6.3. sz. mell'!E43+'6.4. sz. mell'!E43</f>
        <v>0</v>
      </c>
    </row>
    <row r="44" spans="1:5" s="541" customFormat="1" ht="12" customHeight="1">
      <c r="A44" s="525" t="s">
        <v>129</v>
      </c>
      <c r="B44" s="396" t="s">
        <v>335</v>
      </c>
      <c r="C44" s="385"/>
      <c r="D44" s="385"/>
      <c r="E44" s="657">
        <f>+'6.2. sz. mell'!E44+'6.3. sz. mell'!E44+'6.4. sz. mell'!E44</f>
        <v>9366</v>
      </c>
    </row>
    <row r="45" spans="1:5" s="541" customFormat="1" ht="12" customHeight="1">
      <c r="A45" s="525" t="s">
        <v>336</v>
      </c>
      <c r="B45" s="396" t="s">
        <v>337</v>
      </c>
      <c r="C45" s="388"/>
      <c r="D45" s="388"/>
      <c r="E45" s="655">
        <f>+'6.2. sz. mell'!E45+'6.3. sz. mell'!E45+'6.4. sz. mell'!E45</f>
        <v>0</v>
      </c>
    </row>
    <row r="46" spans="1:5" s="514" customFormat="1" ht="12" customHeight="1" thickBot="1">
      <c r="A46" s="526" t="s">
        <v>338</v>
      </c>
      <c r="B46" s="397" t="s">
        <v>339</v>
      </c>
      <c r="C46" s="389"/>
      <c r="D46" s="389"/>
      <c r="E46" s="652">
        <f>+'6.2. sz. mell'!E46+'6.3. sz. mell'!E46+'6.4. sz. mell'!E46</f>
        <v>11314280</v>
      </c>
    </row>
    <row r="47" spans="1:5" s="541" customFormat="1" ht="12" customHeight="1" thickBot="1">
      <c r="A47" s="357" t="s">
        <v>12</v>
      </c>
      <c r="B47" s="353" t="s">
        <v>340</v>
      </c>
      <c r="C47" s="384">
        <f>SUM(C48:C52)</f>
        <v>12712000</v>
      </c>
      <c r="D47" s="384">
        <f>SUM(D48:D52)</f>
        <v>34978000</v>
      </c>
      <c r="E47" s="367">
        <f>+'6.2. sz. mell'!E47+'6.3. sz. mell'!E47+'6.4. sz. mell'!E47</f>
        <v>28204255</v>
      </c>
    </row>
    <row r="48" spans="1:5" s="541" customFormat="1" ht="12" customHeight="1">
      <c r="A48" s="524" t="s">
        <v>67</v>
      </c>
      <c r="B48" s="395" t="s">
        <v>341</v>
      </c>
      <c r="C48" s="405"/>
      <c r="D48" s="405"/>
      <c r="E48" s="338">
        <f>+'6.2. sz. mell'!E48+'6.3. sz. mell'!E48+'6.4. sz. mell'!E48</f>
        <v>0</v>
      </c>
    </row>
    <row r="49" spans="1:5" s="541" customFormat="1" ht="12" customHeight="1">
      <c r="A49" s="525" t="s">
        <v>68</v>
      </c>
      <c r="B49" s="396" t="s">
        <v>342</v>
      </c>
      <c r="C49" s="388">
        <v>10712000</v>
      </c>
      <c r="D49" s="388">
        <v>32978000</v>
      </c>
      <c r="E49" s="655">
        <f>+'6.2. sz. mell'!E49+'6.3. sz. mell'!E49+'6.4. sz. mell'!E49</f>
        <v>28120916</v>
      </c>
    </row>
    <row r="50" spans="1:5" s="541" customFormat="1" ht="12" customHeight="1">
      <c r="A50" s="525" t="s">
        <v>343</v>
      </c>
      <c r="B50" s="396" t="s">
        <v>344</v>
      </c>
      <c r="C50" s="388">
        <v>2000000</v>
      </c>
      <c r="D50" s="388">
        <v>2000000</v>
      </c>
      <c r="E50" s="657">
        <f>+'6.2. sz. mell'!E50+'6.3. sz. mell'!E50+'6.4. sz. mell'!E50</f>
        <v>83339</v>
      </c>
    </row>
    <row r="51" spans="1:5" s="541" customFormat="1" ht="12" customHeight="1">
      <c r="A51" s="525" t="s">
        <v>345</v>
      </c>
      <c r="B51" s="396" t="s">
        <v>346</v>
      </c>
      <c r="C51" s="388"/>
      <c r="D51" s="388"/>
      <c r="E51" s="655">
        <f>+'6.2. sz. mell'!E51+'6.3. sz. mell'!E51+'6.4. sz. mell'!E51</f>
        <v>0</v>
      </c>
    </row>
    <row r="52" spans="1:5" s="541" customFormat="1" ht="12" customHeight="1" thickBot="1">
      <c r="A52" s="526" t="s">
        <v>347</v>
      </c>
      <c r="B52" s="397" t="s">
        <v>348</v>
      </c>
      <c r="C52" s="389"/>
      <c r="D52" s="389"/>
      <c r="E52" s="652">
        <f>+'6.2. sz. mell'!E52+'6.3. sz. mell'!E52+'6.4. sz. mell'!E52</f>
        <v>0</v>
      </c>
    </row>
    <row r="53" spans="1:5" s="541" customFormat="1" ht="12" customHeight="1" thickBot="1">
      <c r="A53" s="357" t="s">
        <v>130</v>
      </c>
      <c r="B53" s="353" t="s">
        <v>349</v>
      </c>
      <c r="C53" s="384">
        <f>SUM(C54:C56)</f>
        <v>0</v>
      </c>
      <c r="D53" s="384">
        <f>SUM(D54:D56)</f>
        <v>0</v>
      </c>
      <c r="E53" s="367">
        <f>+'6.2. sz. mell'!E53+'6.3. sz. mell'!E53+'6.4. sz. mell'!E53</f>
        <v>0</v>
      </c>
    </row>
    <row r="54" spans="1:5" s="514" customFormat="1" ht="12" customHeight="1">
      <c r="A54" s="524" t="s">
        <v>69</v>
      </c>
      <c r="B54" s="395" t="s">
        <v>350</v>
      </c>
      <c r="C54" s="386"/>
      <c r="D54" s="386"/>
      <c r="E54" s="338">
        <f>+'6.2. sz. mell'!E54+'6.3. sz. mell'!E54+'6.4. sz. mell'!E54</f>
        <v>0</v>
      </c>
    </row>
    <row r="55" spans="1:5" s="514" customFormat="1" ht="12" customHeight="1">
      <c r="A55" s="525" t="s">
        <v>70</v>
      </c>
      <c r="B55" s="396" t="s">
        <v>351</v>
      </c>
      <c r="C55" s="385"/>
      <c r="D55" s="385"/>
      <c r="E55" s="655">
        <f>+'6.2. sz. mell'!E55+'6.3. sz. mell'!E55+'6.4. sz. mell'!E55</f>
        <v>0</v>
      </c>
    </row>
    <row r="56" spans="1:5" s="514" customFormat="1" ht="12" customHeight="1">
      <c r="A56" s="525" t="s">
        <v>352</v>
      </c>
      <c r="B56" s="396" t="s">
        <v>353</v>
      </c>
      <c r="C56" s="385"/>
      <c r="D56" s="385"/>
      <c r="E56" s="655">
        <f>+'6.2. sz. mell'!E56+'6.3. sz. mell'!E56+'6.4. sz. mell'!E56</f>
        <v>0</v>
      </c>
    </row>
    <row r="57" spans="1:5" s="514" customFormat="1" ht="12" customHeight="1" thickBot="1">
      <c r="A57" s="526" t="s">
        <v>354</v>
      </c>
      <c r="B57" s="397" t="s">
        <v>355</v>
      </c>
      <c r="C57" s="387"/>
      <c r="D57" s="387"/>
      <c r="E57" s="652">
        <f>+'6.2. sz. mell'!E57+'6.3. sz. mell'!E57+'6.4. sz. mell'!E57</f>
        <v>0</v>
      </c>
    </row>
    <row r="58" spans="1:5" s="541" customFormat="1" ht="12" customHeight="1" thickBot="1">
      <c r="A58" s="357" t="s">
        <v>14</v>
      </c>
      <c r="B58" s="374" t="s">
        <v>356</v>
      </c>
      <c r="C58" s="384">
        <f>SUM(C59:C61)</f>
        <v>17810000</v>
      </c>
      <c r="D58" s="384">
        <f>SUM(D59:D61)</f>
        <v>17810000</v>
      </c>
      <c r="E58" s="367">
        <f>+'6.2. sz. mell'!E58+'6.3. sz. mell'!E58+'6.4. sz. mell'!E58</f>
        <v>3030600</v>
      </c>
    </row>
    <row r="59" spans="1:5" s="541" customFormat="1" ht="12" customHeight="1">
      <c r="A59" s="524" t="s">
        <v>131</v>
      </c>
      <c r="B59" s="395" t="s">
        <v>357</v>
      </c>
      <c r="C59" s="388"/>
      <c r="D59" s="388"/>
      <c r="E59" s="338">
        <f>+'6.2. sz. mell'!E59+'6.3. sz. mell'!E59+'6.4. sz. mell'!E59</f>
        <v>0</v>
      </c>
    </row>
    <row r="60" spans="1:5" s="541" customFormat="1" ht="12" customHeight="1">
      <c r="A60" s="525" t="s">
        <v>132</v>
      </c>
      <c r="B60" s="396" t="s">
        <v>545</v>
      </c>
      <c r="C60" s="388">
        <v>810000</v>
      </c>
      <c r="D60" s="388">
        <v>810000</v>
      </c>
      <c r="E60" s="655">
        <f>+'6.2. sz. mell'!E60+'6.3. sz. mell'!E60+'6.4. sz. mell'!E60</f>
        <v>0</v>
      </c>
    </row>
    <row r="61" spans="1:5" s="541" customFormat="1" ht="12" customHeight="1">
      <c r="A61" s="525" t="s">
        <v>157</v>
      </c>
      <c r="B61" s="396" t="s">
        <v>359</v>
      </c>
      <c r="C61" s="388">
        <v>17000000</v>
      </c>
      <c r="D61" s="388">
        <v>17000000</v>
      </c>
      <c r="E61" s="655">
        <f>+'6.2. sz. mell'!E61+'6.3. sz. mell'!E61+'6.4. sz. mell'!E61</f>
        <v>3030600</v>
      </c>
    </row>
    <row r="62" spans="1:5" s="541" customFormat="1" ht="12" customHeight="1" thickBot="1">
      <c r="A62" s="526" t="s">
        <v>360</v>
      </c>
      <c r="B62" s="397" t="s">
        <v>361</v>
      </c>
      <c r="C62" s="388"/>
      <c r="D62" s="388"/>
      <c r="E62" s="652">
        <f>+'6.2. sz. mell'!E62+'6.3. sz. mell'!E62+'6.4. sz. mell'!E62</f>
        <v>0</v>
      </c>
    </row>
    <row r="63" spans="1:5" s="541" customFormat="1" ht="12" customHeight="1" thickBot="1">
      <c r="A63" s="357" t="s">
        <v>15</v>
      </c>
      <c r="B63" s="353" t="s">
        <v>362</v>
      </c>
      <c r="C63" s="390">
        <f>+C8+C15+C22+C29+C36+C47+C53+C58</f>
        <v>999940736</v>
      </c>
      <c r="D63" s="390">
        <f>+D8+D15+D22+D29+D36+D47+D53+D58</f>
        <v>1101451886</v>
      </c>
      <c r="E63" s="367">
        <f>+'6.2. sz. mell'!E63+'6.3. sz. mell'!E63+'6.4. sz. mell'!E63</f>
        <v>1137791986</v>
      </c>
    </row>
    <row r="64" spans="1:5" s="541" customFormat="1" ht="12" customHeight="1" thickBot="1">
      <c r="A64" s="527" t="s">
        <v>543</v>
      </c>
      <c r="B64" s="374" t="s">
        <v>364</v>
      </c>
      <c r="C64" s="384">
        <f>SUM(C65:C67)</f>
        <v>45359000</v>
      </c>
      <c r="D64" s="384">
        <f>SUM(D65:D67)</f>
        <v>20000000</v>
      </c>
      <c r="E64" s="367">
        <f>+'6.2. sz. mell'!E64+'6.3. sz. mell'!E64+'6.4. sz. mell'!E64</f>
        <v>0</v>
      </c>
    </row>
    <row r="65" spans="1:5" s="541" customFormat="1" ht="12" customHeight="1">
      <c r="A65" s="524" t="s">
        <v>365</v>
      </c>
      <c r="B65" s="395" t="s">
        <v>366</v>
      </c>
      <c r="C65" s="388">
        <v>45359000</v>
      </c>
      <c r="D65" s="388">
        <v>20000000</v>
      </c>
      <c r="E65" s="338">
        <f>+'6.2. sz. mell'!E65+'6.3. sz. mell'!E65+'6.4. sz. mell'!E65</f>
        <v>0</v>
      </c>
    </row>
    <row r="66" spans="1:5" s="541" customFormat="1" ht="12" customHeight="1">
      <c r="A66" s="525" t="s">
        <v>367</v>
      </c>
      <c r="B66" s="396" t="s">
        <v>368</v>
      </c>
      <c r="C66" s="388"/>
      <c r="D66" s="388"/>
      <c r="E66" s="655">
        <f>+'6.2. sz. mell'!E66+'6.3. sz. mell'!E66+'6.4. sz. mell'!E66</f>
        <v>0</v>
      </c>
    </row>
    <row r="67" spans="1:5" s="541" customFormat="1" ht="12" customHeight="1" thickBot="1">
      <c r="A67" s="526" t="s">
        <v>369</v>
      </c>
      <c r="B67" s="520" t="s">
        <v>370</v>
      </c>
      <c r="C67" s="388"/>
      <c r="D67" s="388"/>
      <c r="E67" s="652">
        <f>+'6.2. sz. mell'!E67+'6.3. sz. mell'!E67+'6.4. sz. mell'!E67</f>
        <v>0</v>
      </c>
    </row>
    <row r="68" spans="1:5" s="541" customFormat="1" ht="12" customHeight="1" thickBot="1">
      <c r="A68" s="527" t="s">
        <v>371</v>
      </c>
      <c r="B68" s="374" t="s">
        <v>372</v>
      </c>
      <c r="C68" s="384">
        <f>SUM(C69:C72)</f>
        <v>0</v>
      </c>
      <c r="D68" s="384">
        <f>SUM(D69:D72)</f>
        <v>0</v>
      </c>
      <c r="E68" s="367">
        <f>+'6.2. sz. mell'!E68+'6.3. sz. mell'!E68+'6.4. sz. mell'!E68</f>
        <v>0</v>
      </c>
    </row>
    <row r="69" spans="1:5" s="541" customFormat="1" ht="12" customHeight="1">
      <c r="A69" s="524" t="s">
        <v>108</v>
      </c>
      <c r="B69" s="395" t="s">
        <v>373</v>
      </c>
      <c r="C69" s="388"/>
      <c r="D69" s="388"/>
      <c r="E69" s="338">
        <f>+'6.2. sz. mell'!E69+'6.3. sz. mell'!E69+'6.4. sz. mell'!E69</f>
        <v>0</v>
      </c>
    </row>
    <row r="70" spans="1:5" s="541" customFormat="1" ht="12" customHeight="1">
      <c r="A70" s="525" t="s">
        <v>109</v>
      </c>
      <c r="B70" s="396" t="s">
        <v>374</v>
      </c>
      <c r="C70" s="388"/>
      <c r="D70" s="388"/>
      <c r="E70" s="655">
        <f>+'6.2. sz. mell'!E70+'6.3. sz. mell'!E70+'6.4. sz. mell'!E70</f>
        <v>0</v>
      </c>
    </row>
    <row r="71" spans="1:5" s="541" customFormat="1" ht="12" customHeight="1">
      <c r="A71" s="525" t="s">
        <v>375</v>
      </c>
      <c r="B71" s="396" t="s">
        <v>376</v>
      </c>
      <c r="C71" s="388"/>
      <c r="D71" s="388"/>
      <c r="E71" s="655">
        <f>+'6.2. sz. mell'!E71+'6.3. sz. mell'!E71+'6.4. sz. mell'!E71</f>
        <v>0</v>
      </c>
    </row>
    <row r="72" spans="1:5" s="541" customFormat="1" ht="12" customHeight="1" thickBot="1">
      <c r="A72" s="526" t="s">
        <v>377</v>
      </c>
      <c r="B72" s="397" t="s">
        <v>378</v>
      </c>
      <c r="C72" s="388"/>
      <c r="D72" s="388"/>
      <c r="E72" s="652">
        <f>+'6.2. sz. mell'!E72+'6.3. sz. mell'!E72+'6.4. sz. mell'!E72</f>
        <v>0</v>
      </c>
    </row>
    <row r="73" spans="1:5" s="541" customFormat="1" ht="12" customHeight="1" thickBot="1">
      <c r="A73" s="527" t="s">
        <v>379</v>
      </c>
      <c r="B73" s="374" t="s">
        <v>380</v>
      </c>
      <c r="C73" s="384">
        <f>SUM(C74:C75)</f>
        <v>40000000</v>
      </c>
      <c r="D73" s="384">
        <f>SUM(D74:D75)</f>
        <v>143005207</v>
      </c>
      <c r="E73" s="367">
        <f>+'6.2. sz. mell'!E73+'6.3. sz. mell'!E73+'6.4. sz. mell'!E73</f>
        <v>143005207</v>
      </c>
    </row>
    <row r="74" spans="1:5" s="541" customFormat="1" ht="12" customHeight="1">
      <c r="A74" s="524" t="s">
        <v>381</v>
      </c>
      <c r="B74" s="395" t="s">
        <v>382</v>
      </c>
      <c r="C74" s="388">
        <v>40000000</v>
      </c>
      <c r="D74" s="388">
        <v>143005207</v>
      </c>
      <c r="E74" s="338">
        <f>+'6.2. sz. mell'!E74+'6.3. sz. mell'!E74+'6.4. sz. mell'!E74</f>
        <v>143005207</v>
      </c>
    </row>
    <row r="75" spans="1:5" s="541" customFormat="1" ht="12" customHeight="1" thickBot="1">
      <c r="A75" s="526" t="s">
        <v>383</v>
      </c>
      <c r="B75" s="397" t="s">
        <v>384</v>
      </c>
      <c r="C75" s="388"/>
      <c r="D75" s="388"/>
      <c r="E75" s="659">
        <f>+'6.2. sz. mell'!E75+'6.3. sz. mell'!E75+'6.4. sz. mell'!E75</f>
        <v>0</v>
      </c>
    </row>
    <row r="76" spans="1:5" s="541" customFormat="1" ht="12" customHeight="1" thickBot="1">
      <c r="A76" s="527" t="s">
        <v>385</v>
      </c>
      <c r="B76" s="374" t="s">
        <v>386</v>
      </c>
      <c r="C76" s="384">
        <f>SUM(C77:C79)</f>
        <v>0</v>
      </c>
      <c r="D76" s="384">
        <f>SUM(D77:D79)</f>
        <v>0</v>
      </c>
      <c r="E76" s="367">
        <f>+'6.2. sz. mell'!E76+'6.3. sz. mell'!E76+'6.4. sz. mell'!E76</f>
        <v>18143148</v>
      </c>
    </row>
    <row r="77" spans="1:5" s="541" customFormat="1" ht="12" customHeight="1">
      <c r="A77" s="524" t="s">
        <v>387</v>
      </c>
      <c r="B77" s="395" t="s">
        <v>388</v>
      </c>
      <c r="C77" s="388"/>
      <c r="D77" s="388"/>
      <c r="E77" s="338">
        <f>+'6.2. sz. mell'!E77+'6.3. sz. mell'!E77+'6.4. sz. mell'!E77</f>
        <v>18143148</v>
      </c>
    </row>
    <row r="78" spans="1:5" s="541" customFormat="1" ht="12" customHeight="1">
      <c r="A78" s="525" t="s">
        <v>389</v>
      </c>
      <c r="B78" s="396" t="s">
        <v>390</v>
      </c>
      <c r="C78" s="388"/>
      <c r="D78" s="388"/>
      <c r="E78" s="655">
        <f>+'6.2. sz. mell'!E78+'6.3. sz. mell'!E78+'6.4. sz. mell'!E78</f>
        <v>0</v>
      </c>
    </row>
    <row r="79" spans="1:5" s="541" customFormat="1" ht="12" customHeight="1" thickBot="1">
      <c r="A79" s="526" t="s">
        <v>391</v>
      </c>
      <c r="B79" s="397" t="s">
        <v>392</v>
      </c>
      <c r="C79" s="388"/>
      <c r="D79" s="388"/>
      <c r="E79" s="652">
        <f>+'6.2. sz. mell'!E79+'6.3. sz. mell'!E79+'6.4. sz. mell'!E79</f>
        <v>0</v>
      </c>
    </row>
    <row r="80" spans="1:5" s="541" customFormat="1" ht="12" customHeight="1" thickBot="1">
      <c r="A80" s="527" t="s">
        <v>393</v>
      </c>
      <c r="B80" s="374" t="s">
        <v>394</v>
      </c>
      <c r="C80" s="384">
        <f>SUM(C81:C84)</f>
        <v>0</v>
      </c>
      <c r="D80" s="384">
        <f>SUM(D81:D84)</f>
        <v>0</v>
      </c>
      <c r="E80" s="367">
        <f>+'6.2. sz. mell'!E80+'6.3. sz. mell'!E80+'6.4. sz. mell'!E80</f>
        <v>0</v>
      </c>
    </row>
    <row r="81" spans="1:5" s="541" customFormat="1" ht="12" customHeight="1">
      <c r="A81" s="528" t="s">
        <v>395</v>
      </c>
      <c r="B81" s="395" t="s">
        <v>396</v>
      </c>
      <c r="C81" s="388"/>
      <c r="D81" s="388"/>
      <c r="E81" s="338">
        <f>+'6.2. sz. mell'!E81+'6.3. sz. mell'!E81+'6.4. sz. mell'!E81</f>
        <v>0</v>
      </c>
    </row>
    <row r="82" spans="1:5" s="541" customFormat="1" ht="12" customHeight="1">
      <c r="A82" s="529" t="s">
        <v>397</v>
      </c>
      <c r="B82" s="396" t="s">
        <v>398</v>
      </c>
      <c r="C82" s="388"/>
      <c r="D82" s="388"/>
      <c r="E82" s="655">
        <f>+'6.2. sz. mell'!E82+'6.3. sz. mell'!E82+'6.4. sz. mell'!E82</f>
        <v>0</v>
      </c>
    </row>
    <row r="83" spans="1:5" s="541" customFormat="1" ht="12" customHeight="1">
      <c r="A83" s="529" t="s">
        <v>399</v>
      </c>
      <c r="B83" s="396" t="s">
        <v>400</v>
      </c>
      <c r="C83" s="388"/>
      <c r="D83" s="388"/>
      <c r="E83" s="655">
        <f>+'6.2. sz. mell'!E83+'6.3. sz. mell'!E83+'6.4. sz. mell'!E83</f>
        <v>0</v>
      </c>
    </row>
    <row r="84" spans="1:5" s="541" customFormat="1" ht="12" customHeight="1" thickBot="1">
      <c r="A84" s="530" t="s">
        <v>401</v>
      </c>
      <c r="B84" s="397" t="s">
        <v>402</v>
      </c>
      <c r="C84" s="388"/>
      <c r="D84" s="388"/>
      <c r="E84" s="652">
        <f>+'6.2. sz. mell'!E84+'6.3. sz. mell'!E84+'6.4. sz. mell'!E84</f>
        <v>0</v>
      </c>
    </row>
    <row r="85" spans="1:5" s="541" customFormat="1" ht="12" customHeight="1" thickBot="1">
      <c r="A85" s="527" t="s">
        <v>403</v>
      </c>
      <c r="B85" s="374" t="s">
        <v>404</v>
      </c>
      <c r="C85" s="409"/>
      <c r="D85" s="409"/>
      <c r="E85" s="367">
        <f>+'6.2. sz. mell'!E85+'6.3. sz. mell'!E85+'6.4. sz. mell'!E85</f>
        <v>0</v>
      </c>
    </row>
    <row r="86" spans="1:5" s="541" customFormat="1" ht="12" customHeight="1" thickBot="1">
      <c r="A86" s="527" t="s">
        <v>405</v>
      </c>
      <c r="B86" s="521" t="s">
        <v>406</v>
      </c>
      <c r="C86" s="390">
        <f>+C64+C68+C73+C76+C80+C85</f>
        <v>85359000</v>
      </c>
      <c r="D86" s="390">
        <f>+D64+D68+D73+D76+D80+D85</f>
        <v>163005207</v>
      </c>
      <c r="E86" s="367">
        <f>+'6.2. sz. mell'!E86+'6.3. sz. mell'!E86+'6.4. sz. mell'!E86</f>
        <v>161148355</v>
      </c>
    </row>
    <row r="87" spans="1:5" s="541" customFormat="1" ht="12" customHeight="1" thickBot="1">
      <c r="A87" s="531" t="s">
        <v>407</v>
      </c>
      <c r="B87" s="522" t="s">
        <v>544</v>
      </c>
      <c r="C87" s="390">
        <f>+C63+C86</f>
        <v>1085299736</v>
      </c>
      <c r="D87" s="390">
        <f>+D63+D86</f>
        <v>1264457093</v>
      </c>
      <c r="E87" s="367">
        <f>+'6.2. sz. mell'!E87+'6.3. sz. mell'!E87+'6.4. sz. mell'!E87</f>
        <v>1298940341</v>
      </c>
    </row>
    <row r="88" spans="1:5" s="541" customFormat="1" ht="15" customHeight="1">
      <c r="A88" s="496"/>
      <c r="B88" s="497"/>
      <c r="C88" s="512"/>
      <c r="D88" s="512"/>
      <c r="E88" s="512"/>
    </row>
    <row r="89" spans="1:5" ht="13.5" thickBot="1">
      <c r="A89" s="498"/>
      <c r="B89" s="499"/>
      <c r="C89" s="513"/>
      <c r="D89" s="513"/>
      <c r="E89" s="513"/>
    </row>
    <row r="90" spans="1:5" s="540" customFormat="1" ht="16.5" customHeight="1" thickBot="1">
      <c r="A90" s="863" t="s">
        <v>43</v>
      </c>
      <c r="B90" s="864"/>
      <c r="C90" s="864"/>
      <c r="D90" s="864"/>
      <c r="E90" s="865"/>
    </row>
    <row r="91" spans="1:5" s="315" customFormat="1" ht="12" customHeight="1" thickBot="1">
      <c r="A91" s="519" t="s">
        <v>7</v>
      </c>
      <c r="B91" s="356" t="s">
        <v>415</v>
      </c>
      <c r="C91" s="503">
        <f>SUM(C92:C96)</f>
        <v>558205000</v>
      </c>
      <c r="D91" s="503">
        <f>SUM(D92:D96)</f>
        <v>608943534</v>
      </c>
      <c r="E91" s="503">
        <f>+'6.2. sz. mell'!E91+'6.3. sz. mell'!E91+'6.4. sz. mell'!E91</f>
        <v>576068410</v>
      </c>
    </row>
    <row r="92" spans="1:5" ht="12" customHeight="1">
      <c r="A92" s="532" t="s">
        <v>71</v>
      </c>
      <c r="B92" s="342" t="s">
        <v>37</v>
      </c>
      <c r="C92" s="504">
        <v>288867000</v>
      </c>
      <c r="D92" s="504">
        <v>296758641</v>
      </c>
      <c r="E92" s="503">
        <f>+'6.2. sz. mell'!E92+'6.3. sz. mell'!E92+'6.4. sz. mell'!E92</f>
        <v>295109649</v>
      </c>
    </row>
    <row r="93" spans="1:5" ht="12" customHeight="1">
      <c r="A93" s="525" t="s">
        <v>72</v>
      </c>
      <c r="B93" s="340" t="s">
        <v>133</v>
      </c>
      <c r="C93" s="505">
        <v>43267000</v>
      </c>
      <c r="D93" s="505">
        <v>45271433</v>
      </c>
      <c r="E93" s="661">
        <f>+'6.2. sz. mell'!E93+'6.3. sz. mell'!E93+'6.4. sz. mell'!E93</f>
        <v>45271433</v>
      </c>
    </row>
    <row r="94" spans="1:5" ht="12" customHeight="1">
      <c r="A94" s="525" t="s">
        <v>73</v>
      </c>
      <c r="B94" s="340" t="s">
        <v>100</v>
      </c>
      <c r="C94" s="507">
        <v>132739000</v>
      </c>
      <c r="D94" s="507">
        <v>184875616</v>
      </c>
      <c r="E94" s="660">
        <f>+'6.2. sz. mell'!E94+'6.3. sz. mell'!E94+'6.4. sz. mell'!E94</f>
        <v>168153071</v>
      </c>
    </row>
    <row r="95" spans="1:5" ht="12" customHeight="1">
      <c r="A95" s="525" t="s">
        <v>74</v>
      </c>
      <c r="B95" s="343" t="s">
        <v>134</v>
      </c>
      <c r="C95" s="507">
        <v>35992000</v>
      </c>
      <c r="D95" s="507">
        <v>16736586</v>
      </c>
      <c r="E95" s="661">
        <f>+'6.2. sz. mell'!E95+'6.3. sz. mell'!E95+'6.4. sz. mell'!E95</f>
        <v>16669950</v>
      </c>
    </row>
    <row r="96" spans="1:5" ht="12" customHeight="1">
      <c r="A96" s="525" t="s">
        <v>83</v>
      </c>
      <c r="B96" s="351" t="s">
        <v>135</v>
      </c>
      <c r="C96" s="507">
        <v>57340000</v>
      </c>
      <c r="D96" s="507">
        <v>65301258</v>
      </c>
      <c r="E96" s="660">
        <f>+'6.2. sz. mell'!E96+'6.3. sz. mell'!E96+'6.4. sz. mell'!E96</f>
        <v>50864307</v>
      </c>
    </row>
    <row r="97" spans="1:5" ht="12" customHeight="1">
      <c r="A97" s="525" t="s">
        <v>75</v>
      </c>
      <c r="B97" s="340" t="s">
        <v>416</v>
      </c>
      <c r="C97" s="507"/>
      <c r="D97" s="507"/>
      <c r="E97" s="661">
        <f>+'6.2. sz. mell'!E97+'6.3. sz. mell'!E97+'6.4. sz. mell'!E97</f>
        <v>204800</v>
      </c>
    </row>
    <row r="98" spans="1:5" ht="12" customHeight="1">
      <c r="A98" s="525" t="s">
        <v>76</v>
      </c>
      <c r="B98" s="363" t="s">
        <v>417</v>
      </c>
      <c r="C98" s="507"/>
      <c r="D98" s="507"/>
      <c r="E98" s="660">
        <f>+'6.2. sz. mell'!E98+'6.3. sz. mell'!E98+'6.4. sz. mell'!E98</f>
        <v>0</v>
      </c>
    </row>
    <row r="99" spans="1:5" ht="12" customHeight="1">
      <c r="A99" s="525" t="s">
        <v>84</v>
      </c>
      <c r="B99" s="364" t="s">
        <v>418</v>
      </c>
      <c r="C99" s="507"/>
      <c r="D99" s="507"/>
      <c r="E99" s="661">
        <f>+'6.2. sz. mell'!E99+'6.3. sz. mell'!E99+'6.4. sz. mell'!E99</f>
        <v>0</v>
      </c>
    </row>
    <row r="100" spans="1:5" ht="12" customHeight="1">
      <c r="A100" s="525" t="s">
        <v>85</v>
      </c>
      <c r="B100" s="364" t="s">
        <v>419</v>
      </c>
      <c r="C100" s="507"/>
      <c r="D100" s="507"/>
      <c r="E100" s="660">
        <f>+'6.2. sz. mell'!E100+'6.3. sz. mell'!E100+'6.4. sz. mell'!E100</f>
        <v>0</v>
      </c>
    </row>
    <row r="101" spans="1:5" ht="12" customHeight="1">
      <c r="A101" s="525" t="s">
        <v>86</v>
      </c>
      <c r="B101" s="363" t="s">
        <v>420</v>
      </c>
      <c r="C101" s="507">
        <v>40740000</v>
      </c>
      <c r="D101" s="507">
        <v>48701258</v>
      </c>
      <c r="E101" s="661">
        <f>+'6.2. sz. mell'!E101+'6.3. sz. mell'!E101+'6.4. sz. mell'!E101</f>
        <v>38612048</v>
      </c>
    </row>
    <row r="102" spans="1:5" ht="12" customHeight="1">
      <c r="A102" s="525" t="s">
        <v>87</v>
      </c>
      <c r="B102" s="363" t="s">
        <v>421</v>
      </c>
      <c r="C102" s="507"/>
      <c r="D102" s="507"/>
      <c r="E102" s="660">
        <f>+'6.2. sz. mell'!E102+'6.3. sz. mell'!E102+'6.4. sz. mell'!E102</f>
        <v>0</v>
      </c>
    </row>
    <row r="103" spans="1:5" ht="12" customHeight="1">
      <c r="A103" s="525" t="s">
        <v>89</v>
      </c>
      <c r="B103" s="364" t="s">
        <v>422</v>
      </c>
      <c r="C103" s="507"/>
      <c r="D103" s="507"/>
      <c r="E103" s="661">
        <f>+'6.2. sz. mell'!E103+'6.3. sz. mell'!E103+'6.4. sz. mell'!E103</f>
        <v>0</v>
      </c>
    </row>
    <row r="104" spans="1:5" ht="12" customHeight="1">
      <c r="A104" s="533" t="s">
        <v>136</v>
      </c>
      <c r="B104" s="365" t="s">
        <v>423</v>
      </c>
      <c r="C104" s="507"/>
      <c r="D104" s="507"/>
      <c r="E104" s="660">
        <f>+'6.2. sz. mell'!E104+'6.3. sz. mell'!E104+'6.4. sz. mell'!E104</f>
        <v>0</v>
      </c>
    </row>
    <row r="105" spans="1:5" ht="12" customHeight="1">
      <c r="A105" s="525" t="s">
        <v>424</v>
      </c>
      <c r="B105" s="365" t="s">
        <v>425</v>
      </c>
      <c r="C105" s="507"/>
      <c r="D105" s="507"/>
      <c r="E105" s="661">
        <f>+'6.2. sz. mell'!E105+'6.3. sz. mell'!E105+'6.4. sz. mell'!E105</f>
        <v>0</v>
      </c>
    </row>
    <row r="106" spans="1:5" s="315" customFormat="1" ht="12" customHeight="1" thickBot="1">
      <c r="A106" s="534" t="s">
        <v>426</v>
      </c>
      <c r="B106" s="366" t="s">
        <v>427</v>
      </c>
      <c r="C106" s="509">
        <v>16600000</v>
      </c>
      <c r="D106" s="509">
        <v>16600000</v>
      </c>
      <c r="E106" s="660">
        <f>+'6.2. sz. mell'!E106+'6.3. sz. mell'!E106+'6.4. sz. mell'!E106</f>
        <v>12047459</v>
      </c>
    </row>
    <row r="107" spans="1:5" ht="12" customHeight="1" thickBot="1">
      <c r="A107" s="357" t="s">
        <v>8</v>
      </c>
      <c r="B107" s="355" t="s">
        <v>428</v>
      </c>
      <c r="C107" s="378">
        <f>+C108+C110+C112</f>
        <v>65878000</v>
      </c>
      <c r="D107" s="378">
        <f>+D108+D110+D112</f>
        <v>156351448</v>
      </c>
      <c r="E107" s="503">
        <f>+'6.2. sz. mell'!E107+'6.3. sz. mell'!E107+'6.4. sz. mell'!E107</f>
        <v>133864036</v>
      </c>
    </row>
    <row r="108" spans="1:5" ht="12" customHeight="1">
      <c r="A108" s="524" t="s">
        <v>77</v>
      </c>
      <c r="B108" s="340" t="s">
        <v>155</v>
      </c>
      <c r="C108" s="506">
        <v>61278000</v>
      </c>
      <c r="D108" s="506">
        <v>118751448</v>
      </c>
      <c r="E108" s="503">
        <f>+'6.2. sz. mell'!E108+'6.3. sz. mell'!E108+'6.4. sz. mell'!E108</f>
        <v>98483943</v>
      </c>
    </row>
    <row r="109" spans="1:5" ht="12" customHeight="1">
      <c r="A109" s="524" t="s">
        <v>78</v>
      </c>
      <c r="B109" s="344" t="s">
        <v>429</v>
      </c>
      <c r="C109" s="506"/>
      <c r="D109" s="506"/>
      <c r="E109" s="661">
        <f>+'6.2. sz. mell'!E109+'6.3. sz. mell'!E109+'6.4. sz. mell'!E109</f>
        <v>0</v>
      </c>
    </row>
    <row r="110" spans="1:5" ht="12" customHeight="1">
      <c r="A110" s="524" t="s">
        <v>79</v>
      </c>
      <c r="B110" s="344" t="s">
        <v>137</v>
      </c>
      <c r="C110" s="505">
        <v>4600000</v>
      </c>
      <c r="D110" s="505">
        <v>37600000</v>
      </c>
      <c r="E110" s="660">
        <f>+'6.2. sz. mell'!E110+'6.3. sz. mell'!E110+'6.4. sz. mell'!E110</f>
        <v>35380093</v>
      </c>
    </row>
    <row r="111" spans="1:5" ht="12" customHeight="1">
      <c r="A111" s="524" t="s">
        <v>80</v>
      </c>
      <c r="B111" s="344" t="s">
        <v>430</v>
      </c>
      <c r="C111" s="368"/>
      <c r="D111" s="368"/>
      <c r="E111" s="661">
        <f>+'6.2. sz. mell'!E111+'6.3. sz. mell'!E111+'6.4. sz. mell'!E111</f>
        <v>0</v>
      </c>
    </row>
    <row r="112" spans="1:5" ht="12" customHeight="1">
      <c r="A112" s="524" t="s">
        <v>81</v>
      </c>
      <c r="B112" s="376" t="s">
        <v>158</v>
      </c>
      <c r="C112" s="368"/>
      <c r="D112" s="368"/>
      <c r="E112" s="660">
        <f>+'6.2. sz. mell'!E112+'6.3. sz. mell'!E112+'6.4. sz. mell'!E112</f>
        <v>0</v>
      </c>
    </row>
    <row r="113" spans="1:5" ht="12" customHeight="1">
      <c r="A113" s="524" t="s">
        <v>88</v>
      </c>
      <c r="B113" s="375" t="s">
        <v>431</v>
      </c>
      <c r="C113" s="368"/>
      <c r="D113" s="368"/>
      <c r="E113" s="661">
        <f>+'6.2. sz. mell'!E113+'6.3. sz. mell'!E113+'6.4. sz. mell'!E113</f>
        <v>0</v>
      </c>
    </row>
    <row r="114" spans="1:5" ht="12" customHeight="1">
      <c r="A114" s="524" t="s">
        <v>90</v>
      </c>
      <c r="B114" s="391" t="s">
        <v>432</v>
      </c>
      <c r="C114" s="368"/>
      <c r="D114" s="368"/>
      <c r="E114" s="660">
        <f>+'6.2. sz. mell'!E114+'6.3. sz. mell'!E114+'6.4. sz. mell'!E114</f>
        <v>0</v>
      </c>
    </row>
    <row r="115" spans="1:5" ht="12" customHeight="1">
      <c r="A115" s="524" t="s">
        <v>138</v>
      </c>
      <c r="B115" s="364" t="s">
        <v>419</v>
      </c>
      <c r="C115" s="368"/>
      <c r="D115" s="368"/>
      <c r="E115" s="661">
        <f>+'6.2. sz. mell'!E115+'6.3. sz. mell'!E115+'6.4. sz. mell'!E115</f>
        <v>0</v>
      </c>
    </row>
    <row r="116" spans="1:5" ht="12" customHeight="1">
      <c r="A116" s="524" t="s">
        <v>139</v>
      </c>
      <c r="B116" s="364" t="s">
        <v>433</v>
      </c>
      <c r="C116" s="368"/>
      <c r="D116" s="368"/>
      <c r="E116" s="660">
        <f>+'6.2. sz. mell'!E116+'6.3. sz. mell'!E116+'6.4. sz. mell'!E116</f>
        <v>0</v>
      </c>
    </row>
    <row r="117" spans="1:5" ht="12" customHeight="1">
      <c r="A117" s="524" t="s">
        <v>140</v>
      </c>
      <c r="B117" s="364" t="s">
        <v>434</v>
      </c>
      <c r="C117" s="368"/>
      <c r="D117" s="368"/>
      <c r="E117" s="661">
        <f>+'6.2. sz. mell'!E117+'6.3. sz. mell'!E117+'6.4. sz. mell'!E117</f>
        <v>0</v>
      </c>
    </row>
    <row r="118" spans="1:5" ht="12" customHeight="1">
      <c r="A118" s="524" t="s">
        <v>435</v>
      </c>
      <c r="B118" s="364" t="s">
        <v>422</v>
      </c>
      <c r="C118" s="368"/>
      <c r="D118" s="368"/>
      <c r="E118" s="660">
        <f>+'6.2. sz. mell'!E118+'6.3. sz. mell'!E118+'6.4. sz. mell'!E118</f>
        <v>0</v>
      </c>
    </row>
    <row r="119" spans="1:5" ht="12" customHeight="1">
      <c r="A119" s="524" t="s">
        <v>436</v>
      </c>
      <c r="B119" s="364" t="s">
        <v>437</v>
      </c>
      <c r="C119" s="368"/>
      <c r="D119" s="368"/>
      <c r="E119" s="661">
        <f>+'6.2. sz. mell'!E119+'6.3. sz. mell'!E119+'6.4. sz. mell'!E119</f>
        <v>0</v>
      </c>
    </row>
    <row r="120" spans="1:5" ht="12" customHeight="1" thickBot="1">
      <c r="A120" s="533" t="s">
        <v>438</v>
      </c>
      <c r="B120" s="364" t="s">
        <v>439</v>
      </c>
      <c r="C120" s="370"/>
      <c r="D120" s="370"/>
      <c r="E120" s="660">
        <f>+'6.2. sz. mell'!E120+'6.3. sz. mell'!E120+'6.4. sz. mell'!E120</f>
        <v>0</v>
      </c>
    </row>
    <row r="121" spans="1:5" ht="12" customHeight="1" thickBot="1">
      <c r="A121" s="357" t="s">
        <v>9</v>
      </c>
      <c r="B121" s="360" t="s">
        <v>440</v>
      </c>
      <c r="C121" s="378">
        <f>+C122+C123</f>
        <v>0</v>
      </c>
      <c r="D121" s="378">
        <f>+D122+D123</f>
        <v>15000000</v>
      </c>
      <c r="E121" s="503">
        <f>+'6.2. sz. mell'!E121+'6.3. sz. mell'!E121+'6.4. sz. mell'!E121</f>
        <v>0</v>
      </c>
    </row>
    <row r="122" spans="1:5" ht="12" customHeight="1">
      <c r="A122" s="524" t="s">
        <v>60</v>
      </c>
      <c r="B122" s="341" t="s">
        <v>45</v>
      </c>
      <c r="C122" s="506"/>
      <c r="D122" s="506"/>
      <c r="E122" s="662">
        <f>+'6.2. sz. mell'!E122+'6.3. sz. mell'!E122+'6.4. sz. mell'!E122</f>
        <v>0</v>
      </c>
    </row>
    <row r="123" spans="1:5" ht="12" customHeight="1" thickBot="1">
      <c r="A123" s="526" t="s">
        <v>61</v>
      </c>
      <c r="B123" s="344" t="s">
        <v>46</v>
      </c>
      <c r="C123" s="507"/>
      <c r="D123" s="507">
        <v>15000000</v>
      </c>
      <c r="E123" s="660">
        <f>+'6.2. sz. mell'!E123+'6.3. sz. mell'!E123+'6.4. sz. mell'!E123</f>
        <v>0</v>
      </c>
    </row>
    <row r="124" spans="1:5" ht="12" customHeight="1" thickBot="1">
      <c r="A124" s="357" t="s">
        <v>10</v>
      </c>
      <c r="B124" s="360" t="s">
        <v>441</v>
      </c>
      <c r="C124" s="378">
        <f>+C91+C107+C121</f>
        <v>624083000</v>
      </c>
      <c r="D124" s="378">
        <f>+D91+D107+D121</f>
        <v>780294982</v>
      </c>
      <c r="E124" s="503">
        <f>+'6.2. sz. mell'!E124+'6.3. sz. mell'!E124+'6.4. sz. mell'!E124</f>
        <v>709932446</v>
      </c>
    </row>
    <row r="125" spans="1:5" ht="12" customHeight="1" thickBot="1">
      <c r="A125" s="357" t="s">
        <v>11</v>
      </c>
      <c r="B125" s="360" t="s">
        <v>546</v>
      </c>
      <c r="C125" s="378">
        <f>+C126+C127+C128</f>
        <v>1633000</v>
      </c>
      <c r="D125" s="378">
        <f>+D126+D127+D128</f>
        <v>1633000</v>
      </c>
      <c r="E125" s="503">
        <f>+'6.2. sz. mell'!E125+'6.3. sz. mell'!E125+'6.4. sz. mell'!E125</f>
        <v>1633000</v>
      </c>
    </row>
    <row r="126" spans="1:5" ht="12" customHeight="1">
      <c r="A126" s="524" t="s">
        <v>64</v>
      </c>
      <c r="B126" s="341" t="s">
        <v>443</v>
      </c>
      <c r="C126" s="368">
        <v>1633000</v>
      </c>
      <c r="D126" s="368">
        <v>1633000</v>
      </c>
      <c r="E126" s="503">
        <f>+'6.2. sz. mell'!E126+'6.3. sz. mell'!E126+'6.4. sz. mell'!E126</f>
        <v>1633000</v>
      </c>
    </row>
    <row r="127" spans="1:5" ht="12" customHeight="1">
      <c r="A127" s="524" t="s">
        <v>65</v>
      </c>
      <c r="B127" s="341" t="s">
        <v>444</v>
      </c>
      <c r="C127" s="368"/>
      <c r="D127" s="368"/>
      <c r="E127" s="661">
        <f>+'6.2. sz. mell'!E127+'6.3. sz. mell'!E127+'6.4. sz. mell'!E127</f>
        <v>0</v>
      </c>
    </row>
    <row r="128" spans="1:5" ht="12" customHeight="1" thickBot="1">
      <c r="A128" s="533" t="s">
        <v>66</v>
      </c>
      <c r="B128" s="339" t="s">
        <v>445</v>
      </c>
      <c r="C128" s="368"/>
      <c r="D128" s="368"/>
      <c r="E128" s="660">
        <f>+'6.2. sz. mell'!E128+'6.3. sz. mell'!E128+'6.4. sz. mell'!E128</f>
        <v>0</v>
      </c>
    </row>
    <row r="129" spans="1:11" ht="12" customHeight="1" thickBot="1">
      <c r="A129" s="357" t="s">
        <v>12</v>
      </c>
      <c r="B129" s="360" t="s">
        <v>446</v>
      </c>
      <c r="C129" s="378">
        <f>+C130+C131+C132+C133</f>
        <v>0</v>
      </c>
      <c r="D129" s="378">
        <f>+D130+D131+D132+D133</f>
        <v>0</v>
      </c>
      <c r="E129" s="503">
        <f>+'6.2. sz. mell'!E129+'6.3. sz. mell'!E129+'6.4. sz. mell'!E129</f>
        <v>0</v>
      </c>
    </row>
    <row r="130" spans="1:11" ht="12" customHeight="1">
      <c r="A130" s="524" t="s">
        <v>67</v>
      </c>
      <c r="B130" s="341" t="s">
        <v>447</v>
      </c>
      <c r="C130" s="368"/>
      <c r="D130" s="368"/>
      <c r="E130" s="503">
        <f>+'6.2. sz. mell'!E130+'6.3. sz. mell'!E130+'6.4. sz. mell'!E130</f>
        <v>0</v>
      </c>
    </row>
    <row r="131" spans="1:11" ht="12" customHeight="1">
      <c r="A131" s="524" t="s">
        <v>68</v>
      </c>
      <c r="B131" s="341" t="s">
        <v>448</v>
      </c>
      <c r="C131" s="368"/>
      <c r="D131" s="368"/>
      <c r="E131" s="661">
        <f>+'6.2. sz. mell'!E131+'6.3. sz. mell'!E131+'6.4. sz. mell'!E131</f>
        <v>0</v>
      </c>
    </row>
    <row r="132" spans="1:11" ht="12" customHeight="1">
      <c r="A132" s="524" t="s">
        <v>343</v>
      </c>
      <c r="B132" s="341" t="s">
        <v>449</v>
      </c>
      <c r="C132" s="368"/>
      <c r="D132" s="368"/>
      <c r="E132" s="661">
        <f>+'6.2. sz. mell'!E132+'6.3. sz. mell'!E132+'6.4. sz. mell'!E132</f>
        <v>0</v>
      </c>
    </row>
    <row r="133" spans="1:11" s="315" customFormat="1" ht="12" customHeight="1" thickBot="1">
      <c r="A133" s="533" t="s">
        <v>345</v>
      </c>
      <c r="B133" s="339" t="s">
        <v>450</v>
      </c>
      <c r="C133" s="368"/>
      <c r="D133" s="368"/>
      <c r="E133" s="660">
        <f>+'6.2. sz. mell'!E133+'6.3. sz. mell'!E133+'6.4. sz. mell'!E133</f>
        <v>0</v>
      </c>
    </row>
    <row r="134" spans="1:11" ht="13.5" thickBot="1">
      <c r="A134" s="357" t="s">
        <v>13</v>
      </c>
      <c r="B134" s="360" t="s">
        <v>662</v>
      </c>
      <c r="C134" s="508">
        <f>+C135+C136+C137+C139+C138</f>
        <v>459583736</v>
      </c>
      <c r="D134" s="508">
        <f>+D135+D136+D137+D139+D138</f>
        <v>482529111</v>
      </c>
      <c r="E134" s="503">
        <f>+'6.2. sz. mell'!E134+'6.3. sz. mell'!E134+'6.4. sz. mell'!E134</f>
        <v>397979920</v>
      </c>
      <c r="K134" s="487"/>
    </row>
    <row r="135" spans="1:11">
      <c r="A135" s="524" t="s">
        <v>69</v>
      </c>
      <c r="B135" s="341" t="s">
        <v>452</v>
      </c>
      <c r="C135" s="368"/>
      <c r="D135" s="368"/>
      <c r="E135" s="503">
        <f>+'6.2. sz. mell'!E135+'6.3. sz. mell'!E135+'6.4. sz. mell'!E135</f>
        <v>0</v>
      </c>
    </row>
    <row r="136" spans="1:11" ht="12" customHeight="1">
      <c r="A136" s="524" t="s">
        <v>70</v>
      </c>
      <c r="B136" s="341" t="s">
        <v>453</v>
      </c>
      <c r="C136" s="368"/>
      <c r="D136" s="368">
        <v>16664290</v>
      </c>
      <c r="E136" s="661">
        <f>+'6.2. sz. mell'!E136+'6.3. sz. mell'!E136+'6.4. sz. mell'!E136</f>
        <v>16664290</v>
      </c>
    </row>
    <row r="137" spans="1:11" s="315" customFormat="1" ht="12" customHeight="1">
      <c r="A137" s="524" t="s">
        <v>352</v>
      </c>
      <c r="B137" s="341" t="s">
        <v>661</v>
      </c>
      <c r="C137" s="368">
        <v>458683736</v>
      </c>
      <c r="D137" s="368">
        <v>464964821</v>
      </c>
      <c r="E137" s="660">
        <f>+'6.2. sz. mell'!E137+'6.3. sz. mell'!E137+'6.4. sz. mell'!E137</f>
        <v>380435756</v>
      </c>
    </row>
    <row r="138" spans="1:11" s="315" customFormat="1" ht="12" customHeight="1">
      <c r="A138" s="524" t="s">
        <v>354</v>
      </c>
      <c r="B138" s="341" t="s">
        <v>454</v>
      </c>
      <c r="C138" s="368"/>
      <c r="D138" s="368"/>
      <c r="E138" s="661">
        <f>+'6.2. sz. mell'!E138+'6.3. sz. mell'!E138+'6.4. sz. mell'!E138</f>
        <v>0</v>
      </c>
    </row>
    <row r="139" spans="1:11" s="315" customFormat="1" ht="12" customHeight="1" thickBot="1">
      <c r="A139" s="533" t="s">
        <v>660</v>
      </c>
      <c r="B139" s="339" t="s">
        <v>455</v>
      </c>
      <c r="C139" s="368">
        <v>900000</v>
      </c>
      <c r="D139" s="368">
        <v>900000</v>
      </c>
      <c r="E139" s="660">
        <f>+'6.2. sz. mell'!E139+'6.3. sz. mell'!E139+'6.4. sz. mell'!E139</f>
        <v>879874</v>
      </c>
    </row>
    <row r="140" spans="1:11" s="315" customFormat="1" ht="12" customHeight="1" thickBot="1">
      <c r="A140" s="357" t="s">
        <v>14</v>
      </c>
      <c r="B140" s="360" t="s">
        <v>547</v>
      </c>
      <c r="C140" s="510">
        <f>+C141+C142+C143+C144</f>
        <v>0</v>
      </c>
      <c r="D140" s="510">
        <f>+D141+D142+D143+D144</f>
        <v>0</v>
      </c>
      <c r="E140" s="503">
        <f>+'6.2. sz. mell'!E140+'6.3. sz. mell'!E140+'6.4. sz. mell'!E140</f>
        <v>0</v>
      </c>
    </row>
    <row r="141" spans="1:11" s="315" customFormat="1" ht="12" customHeight="1">
      <c r="A141" s="524" t="s">
        <v>131</v>
      </c>
      <c r="B141" s="341" t="s">
        <v>457</v>
      </c>
      <c r="C141" s="368"/>
      <c r="D141" s="368"/>
      <c r="E141" s="503">
        <f>+'6.2. sz. mell'!E141+'6.3. sz. mell'!E141+'6.4. sz. mell'!E141</f>
        <v>0</v>
      </c>
    </row>
    <row r="142" spans="1:11" s="315" customFormat="1" ht="12" customHeight="1">
      <c r="A142" s="524" t="s">
        <v>132</v>
      </c>
      <c r="B142" s="341" t="s">
        <v>458</v>
      </c>
      <c r="C142" s="368"/>
      <c r="D142" s="368"/>
      <c r="E142" s="661">
        <f>+'6.2. sz. mell'!E142+'6.3. sz. mell'!E142+'6.4. sz. mell'!E142</f>
        <v>0</v>
      </c>
    </row>
    <row r="143" spans="1:11" s="315" customFormat="1" ht="12" customHeight="1">
      <c r="A143" s="524" t="s">
        <v>157</v>
      </c>
      <c r="B143" s="341" t="s">
        <v>459</v>
      </c>
      <c r="C143" s="368"/>
      <c r="D143" s="368"/>
      <c r="E143" s="661">
        <f>+'6.2. sz. mell'!E143+'6.3. sz. mell'!E143+'6.4. sz. mell'!E143</f>
        <v>0</v>
      </c>
    </row>
    <row r="144" spans="1:11" ht="12.75" customHeight="1" thickBot="1">
      <c r="A144" s="524" t="s">
        <v>360</v>
      </c>
      <c r="B144" s="341" t="s">
        <v>460</v>
      </c>
      <c r="C144" s="368"/>
      <c r="D144" s="368"/>
      <c r="E144" s="660">
        <f>+'6.2. sz. mell'!E144+'6.3. sz. mell'!E144+'6.4. sz. mell'!E144</f>
        <v>0</v>
      </c>
    </row>
    <row r="145" spans="1:5" ht="12" customHeight="1" thickBot="1">
      <c r="A145" s="357" t="s">
        <v>15</v>
      </c>
      <c r="B145" s="360" t="s">
        <v>461</v>
      </c>
      <c r="C145" s="523">
        <f>+C125+C129+C134+C140</f>
        <v>461216736</v>
      </c>
      <c r="D145" s="523">
        <f>+D125+D129+D134+D140</f>
        <v>484162111</v>
      </c>
      <c r="E145" s="503">
        <f>+'6.2. sz. mell'!E145+'6.3. sz. mell'!E145+'6.4. sz. mell'!E145</f>
        <v>399612920</v>
      </c>
    </row>
    <row r="146" spans="1:5" ht="15" customHeight="1" thickBot="1">
      <c r="A146" s="535" t="s">
        <v>16</v>
      </c>
      <c r="B146" s="380" t="s">
        <v>462</v>
      </c>
      <c r="C146" s="523">
        <f>+C124+C145</f>
        <v>1085299736</v>
      </c>
      <c r="D146" s="523">
        <f>+D124+D145</f>
        <v>1264457093</v>
      </c>
      <c r="E146" s="663">
        <f>+'6.2. sz. mell'!E146+'6.3. sz. mell'!E146+'6.4. sz. mell'!E146</f>
        <v>1109545366</v>
      </c>
    </row>
    <row r="147" spans="1:5" ht="13.5" thickBot="1">
      <c r="A147" s="42"/>
      <c r="B147" s="43"/>
      <c r="C147" s="44"/>
      <c r="D147" s="44"/>
      <c r="E147" s="44"/>
    </row>
    <row r="148" spans="1:5" ht="15" customHeight="1" thickBot="1">
      <c r="A148" s="500" t="s">
        <v>729</v>
      </c>
      <c r="B148" s="501"/>
      <c r="C148" s="113"/>
      <c r="D148" s="114"/>
      <c r="E148" s="111">
        <f>+'6.2. sz. mell'!E148+'6.3. sz. mell'!E148+'6.4. sz. mell'!E148</f>
        <v>12</v>
      </c>
    </row>
    <row r="149" spans="1:5" ht="14.25" customHeight="1" thickBot="1">
      <c r="A149" s="500" t="s">
        <v>728</v>
      </c>
      <c r="B149" s="501"/>
      <c r="C149" s="113"/>
      <c r="D149" s="114"/>
      <c r="E149" s="111">
        <f>+'6.2. sz. mell'!E149+'6.3. sz. mell'!E149+'6.4. sz. mell'!E149</f>
        <v>280</v>
      </c>
    </row>
  </sheetData>
  <sheetProtection formatCells="0"/>
  <mergeCells count="4">
    <mergeCell ref="A7:E7"/>
    <mergeCell ref="A90:E90"/>
    <mergeCell ref="B2:D2"/>
    <mergeCell ref="B3:D3"/>
  </mergeCells>
  <phoneticPr fontId="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verticalDpi="300" r:id="rId1"/>
  <headerFooter alignWithMargins="0"/>
  <rowBreaks count="1" manualBreakCount="1">
    <brk id="8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92D050"/>
  </sheetPr>
  <dimension ref="A1:K149"/>
  <sheetViews>
    <sheetView view="pageLayout" zoomScaleNormal="100" zoomScaleSheetLayoutView="100" workbookViewId="0">
      <selection activeCell="E2" sqref="E2"/>
    </sheetView>
  </sheetViews>
  <sheetFormatPr defaultRowHeight="12.75"/>
  <cols>
    <col min="1" max="1" width="14.83203125" style="515" customWidth="1"/>
    <col min="2" max="2" width="64.6640625" style="516" customWidth="1"/>
    <col min="3" max="5" width="17" style="517" customWidth="1"/>
    <col min="6" max="16384" width="9.33203125" style="32"/>
  </cols>
  <sheetData>
    <row r="1" spans="1:5" s="491" customFormat="1" ht="16.5" customHeight="1" thickBot="1">
      <c r="A1" s="490"/>
      <c r="B1" s="492"/>
      <c r="C1" s="537"/>
      <c r="D1" s="502"/>
      <c r="E1" s="629" t="str">
        <f>+CONCATENATE("6.2. melléklet a 15/",LEFT(ÖSSZEFÜGGÉSEK!A4,4)+1,". (V. 30.) önkormányzati rendelethez")</f>
        <v>6.2. melléklet a 15/2017. (V. 30.) önkormányzati rendelethez</v>
      </c>
    </row>
    <row r="2" spans="1:5" s="538" customFormat="1" ht="15.75" customHeight="1">
      <c r="A2" s="518" t="s">
        <v>52</v>
      </c>
      <c r="B2" s="866" t="s">
        <v>731</v>
      </c>
      <c r="C2" s="867"/>
      <c r="D2" s="868"/>
      <c r="E2" s="511" t="s">
        <v>41</v>
      </c>
    </row>
    <row r="3" spans="1:5" s="538" customFormat="1" ht="24.75" thickBot="1">
      <c r="A3" s="536" t="s">
        <v>542</v>
      </c>
      <c r="B3" s="869" t="s">
        <v>663</v>
      </c>
      <c r="C3" s="870"/>
      <c r="D3" s="871"/>
      <c r="E3" s="486" t="s">
        <v>47</v>
      </c>
    </row>
    <row r="4" spans="1:5" s="539" customFormat="1" ht="15.95" customHeight="1" thickBot="1">
      <c r="A4" s="493"/>
      <c r="B4" s="493"/>
      <c r="C4" s="494"/>
      <c r="D4" s="494"/>
      <c r="E4" s="494" t="s">
        <v>769</v>
      </c>
    </row>
    <row r="5" spans="1:5" ht="24.75" thickBot="1">
      <c r="A5" s="325" t="s">
        <v>148</v>
      </c>
      <c r="B5" s="326" t="s">
        <v>727</v>
      </c>
      <c r="C5" s="97" t="s">
        <v>178</v>
      </c>
      <c r="D5" s="97" t="s">
        <v>183</v>
      </c>
      <c r="E5" s="495" t="s">
        <v>184</v>
      </c>
    </row>
    <row r="6" spans="1:5" s="540" customFormat="1" ht="12.95" customHeight="1" thickBot="1">
      <c r="A6" s="488" t="s">
        <v>409</v>
      </c>
      <c r="B6" s="489" t="s">
        <v>410</v>
      </c>
      <c r="C6" s="489" t="s">
        <v>411</v>
      </c>
      <c r="D6" s="112" t="s">
        <v>412</v>
      </c>
      <c r="E6" s="110" t="s">
        <v>413</v>
      </c>
    </row>
    <row r="7" spans="1:5" s="540" customFormat="1" ht="15.95" customHeight="1" thickBot="1">
      <c r="A7" s="863" t="s">
        <v>42</v>
      </c>
      <c r="B7" s="864"/>
      <c r="C7" s="864"/>
      <c r="D7" s="864"/>
      <c r="E7" s="865"/>
    </row>
    <row r="8" spans="1:5" s="540" customFormat="1" ht="12" customHeight="1" thickBot="1">
      <c r="A8" s="357" t="s">
        <v>7</v>
      </c>
      <c r="B8" s="353" t="s">
        <v>301</v>
      </c>
      <c r="C8" s="384">
        <f>SUM(C9:C14)</f>
        <v>840689736</v>
      </c>
      <c r="D8" s="384">
        <f>SUM(D9:D14)</f>
        <v>525964684</v>
      </c>
      <c r="E8" s="367">
        <f>SUM(E9:E14)</f>
        <v>520552427</v>
      </c>
    </row>
    <row r="9" spans="1:5" s="514" customFormat="1" ht="12" customHeight="1">
      <c r="A9" s="524" t="s">
        <v>71</v>
      </c>
      <c r="B9" s="395" t="s">
        <v>302</v>
      </c>
      <c r="C9" s="386">
        <v>165437120</v>
      </c>
      <c r="D9" s="386">
        <v>192926722</v>
      </c>
      <c r="E9" s="369">
        <v>192926722</v>
      </c>
    </row>
    <row r="10" spans="1:5" s="541" customFormat="1" ht="12" customHeight="1">
      <c r="A10" s="525" t="s">
        <v>72</v>
      </c>
      <c r="B10" s="396" t="s">
        <v>303</v>
      </c>
      <c r="C10" s="385">
        <v>109277466</v>
      </c>
      <c r="D10" s="385">
        <v>109277466</v>
      </c>
      <c r="E10" s="368">
        <v>110520500</v>
      </c>
    </row>
    <row r="11" spans="1:5" s="541" customFormat="1" ht="12" customHeight="1">
      <c r="A11" s="525" t="s">
        <v>73</v>
      </c>
      <c r="B11" s="396" t="s">
        <v>304</v>
      </c>
      <c r="C11" s="385">
        <v>176005244</v>
      </c>
      <c r="D11" s="385">
        <v>175654694</v>
      </c>
      <c r="E11" s="368">
        <v>178590993</v>
      </c>
    </row>
    <row r="12" spans="1:5" s="541" customFormat="1" ht="12" customHeight="1">
      <c r="A12" s="525" t="s">
        <v>74</v>
      </c>
      <c r="B12" s="396" t="s">
        <v>305</v>
      </c>
      <c r="C12" s="385">
        <v>8016480</v>
      </c>
      <c r="D12" s="385">
        <v>8016480</v>
      </c>
      <c r="E12" s="368">
        <v>8395763</v>
      </c>
    </row>
    <row r="13" spans="1:5" s="541" customFormat="1" ht="12" customHeight="1">
      <c r="A13" s="525" t="s">
        <v>107</v>
      </c>
      <c r="B13" s="396" t="s">
        <v>306</v>
      </c>
      <c r="C13" s="385">
        <f>376281448+5671978</f>
        <v>381953426</v>
      </c>
      <c r="D13" s="385">
        <f>40067891+21431</f>
        <v>40089322</v>
      </c>
      <c r="E13" s="368"/>
    </row>
    <row r="14" spans="1:5" s="514" customFormat="1" ht="12" customHeight="1" thickBot="1">
      <c r="A14" s="526" t="s">
        <v>75</v>
      </c>
      <c r="B14" s="397" t="s">
        <v>307</v>
      </c>
      <c r="C14" s="387"/>
      <c r="D14" s="387"/>
      <c r="E14" s="370">
        <v>30118449</v>
      </c>
    </row>
    <row r="15" spans="1:5" s="514" customFormat="1" ht="12" customHeight="1" thickBot="1">
      <c r="A15" s="357" t="s">
        <v>8</v>
      </c>
      <c r="B15" s="374" t="s">
        <v>308</v>
      </c>
      <c r="C15" s="384">
        <f>SUM(C16:C20)</f>
        <v>0</v>
      </c>
      <c r="D15" s="384">
        <f>SUM(D16:D20)</f>
        <v>363394652</v>
      </c>
      <c r="E15" s="367">
        <f>SUM(E16:E20)</f>
        <v>398689976</v>
      </c>
    </row>
    <row r="16" spans="1:5" s="514" customFormat="1" ht="12" customHeight="1">
      <c r="A16" s="524" t="s">
        <v>77</v>
      </c>
      <c r="B16" s="395" t="s">
        <v>309</v>
      </c>
      <c r="C16" s="386"/>
      <c r="D16" s="386"/>
      <c r="E16" s="369"/>
    </row>
    <row r="17" spans="1:5" s="514" customFormat="1" ht="12" customHeight="1">
      <c r="A17" s="525" t="s">
        <v>78</v>
      </c>
      <c r="B17" s="396" t="s">
        <v>310</v>
      </c>
      <c r="C17" s="385"/>
      <c r="D17" s="385"/>
      <c r="E17" s="368"/>
    </row>
    <row r="18" spans="1:5" s="514" customFormat="1" ht="12" customHeight="1">
      <c r="A18" s="525" t="s">
        <v>79</v>
      </c>
      <c r="B18" s="396" t="s">
        <v>311</v>
      </c>
      <c r="C18" s="385"/>
      <c r="D18" s="385"/>
      <c r="E18" s="368"/>
    </row>
    <row r="19" spans="1:5" s="514" customFormat="1" ht="12" customHeight="1">
      <c r="A19" s="525" t="s">
        <v>80</v>
      </c>
      <c r="B19" s="396" t="s">
        <v>312</v>
      </c>
      <c r="C19" s="385"/>
      <c r="D19" s="385"/>
      <c r="E19" s="368"/>
    </row>
    <row r="20" spans="1:5" s="514" customFormat="1" ht="12" customHeight="1">
      <c r="A20" s="525" t="s">
        <v>81</v>
      </c>
      <c r="B20" s="396" t="s">
        <v>313</v>
      </c>
      <c r="C20" s="385"/>
      <c r="D20" s="385">
        <v>363394652</v>
      </c>
      <c r="E20" s="368">
        <v>398689976</v>
      </c>
    </row>
    <row r="21" spans="1:5" s="541" customFormat="1" ht="12" customHeight="1" thickBot="1">
      <c r="A21" s="526" t="s">
        <v>88</v>
      </c>
      <c r="B21" s="397" t="s">
        <v>314</v>
      </c>
      <c r="C21" s="387"/>
      <c r="D21" s="387"/>
      <c r="E21" s="370"/>
    </row>
    <row r="22" spans="1:5" s="541" customFormat="1" ht="12" customHeight="1" thickBot="1">
      <c r="A22" s="357" t="s">
        <v>9</v>
      </c>
      <c r="B22" s="353" t="s">
        <v>315</v>
      </c>
      <c r="C22" s="384">
        <f>SUM(C23:C27)</f>
        <v>0</v>
      </c>
      <c r="D22" s="384">
        <f>SUM(D23:D27)</f>
        <v>25271550</v>
      </c>
      <c r="E22" s="367">
        <f>SUM(E23:E27)</f>
        <v>54062786</v>
      </c>
    </row>
    <row r="23" spans="1:5" s="541" customFormat="1" ht="12" customHeight="1">
      <c r="A23" s="524" t="s">
        <v>60</v>
      </c>
      <c r="B23" s="395" t="s">
        <v>316</v>
      </c>
      <c r="C23" s="386"/>
      <c r="D23" s="386">
        <v>15229000</v>
      </c>
      <c r="E23" s="369">
        <v>15229000</v>
      </c>
    </row>
    <row r="24" spans="1:5" s="514" customFormat="1" ht="12" customHeight="1">
      <c r="A24" s="525" t="s">
        <v>61</v>
      </c>
      <c r="B24" s="396" t="s">
        <v>317</v>
      </c>
      <c r="C24" s="385"/>
      <c r="D24" s="385"/>
      <c r="E24" s="368"/>
    </row>
    <row r="25" spans="1:5" s="541" customFormat="1" ht="12" customHeight="1">
      <c r="A25" s="525" t="s">
        <v>62</v>
      </c>
      <c r="B25" s="396" t="s">
        <v>318</v>
      </c>
      <c r="C25" s="385"/>
      <c r="D25" s="385"/>
      <c r="E25" s="368"/>
    </row>
    <row r="26" spans="1:5" s="541" customFormat="1" ht="12" customHeight="1">
      <c r="A26" s="525" t="s">
        <v>63</v>
      </c>
      <c r="B26" s="396" t="s">
        <v>319</v>
      </c>
      <c r="C26" s="385"/>
      <c r="D26" s="385"/>
      <c r="E26" s="368"/>
    </row>
    <row r="27" spans="1:5" s="541" customFormat="1" ht="12" customHeight="1">
      <c r="A27" s="525" t="s">
        <v>121</v>
      </c>
      <c r="B27" s="396" t="s">
        <v>320</v>
      </c>
      <c r="C27" s="385"/>
      <c r="D27" s="385">
        <v>10042550</v>
      </c>
      <c r="E27" s="368">
        <v>38833786</v>
      </c>
    </row>
    <row r="28" spans="1:5" s="541" customFormat="1" ht="12" customHeight="1" thickBot="1">
      <c r="A28" s="526" t="s">
        <v>122</v>
      </c>
      <c r="B28" s="397" t="s">
        <v>321</v>
      </c>
      <c r="C28" s="387"/>
      <c r="D28" s="387"/>
      <c r="E28" s="370"/>
    </row>
    <row r="29" spans="1:5" s="541" customFormat="1" ht="12" customHeight="1" thickBot="1">
      <c r="A29" s="357" t="s">
        <v>123</v>
      </c>
      <c r="B29" s="353" t="s">
        <v>718</v>
      </c>
      <c r="C29" s="390">
        <f>SUM(C30:C35)</f>
        <v>84040000</v>
      </c>
      <c r="D29" s="390">
        <f>SUM(D30:D35)</f>
        <v>84040000</v>
      </c>
      <c r="E29" s="403">
        <f>SUM(E30:E35)</f>
        <v>95873022</v>
      </c>
    </row>
    <row r="30" spans="1:5" s="541" customFormat="1" ht="12" customHeight="1">
      <c r="A30" s="524" t="s">
        <v>322</v>
      </c>
      <c r="B30" s="395" t="s">
        <v>722</v>
      </c>
      <c r="C30" s="386"/>
      <c r="D30" s="386"/>
      <c r="E30" s="369"/>
    </row>
    <row r="31" spans="1:5" s="541" customFormat="1" ht="12" customHeight="1">
      <c r="A31" s="525" t="s">
        <v>323</v>
      </c>
      <c r="B31" s="396" t="s">
        <v>723</v>
      </c>
      <c r="C31" s="385"/>
      <c r="D31" s="385"/>
      <c r="E31" s="368"/>
    </row>
    <row r="32" spans="1:5" s="541" customFormat="1" ht="12" customHeight="1">
      <c r="A32" s="525" t="s">
        <v>324</v>
      </c>
      <c r="B32" s="396" t="s">
        <v>724</v>
      </c>
      <c r="C32" s="385">
        <v>55300000</v>
      </c>
      <c r="D32" s="385">
        <v>55300000</v>
      </c>
      <c r="E32" s="368">
        <f>72857761-'6.3. sz. mell'!E32</f>
        <v>64910302</v>
      </c>
    </row>
    <row r="33" spans="1:5" s="541" customFormat="1" ht="12" customHeight="1">
      <c r="A33" s="525" t="s">
        <v>737</v>
      </c>
      <c r="B33" s="396" t="s">
        <v>725</v>
      </c>
      <c r="C33" s="385">
        <v>40000</v>
      </c>
      <c r="D33" s="385">
        <v>40000</v>
      </c>
      <c r="E33" s="368">
        <v>25200</v>
      </c>
    </row>
    <row r="34" spans="1:5" s="541" customFormat="1" ht="12" customHeight="1">
      <c r="A34" s="525" t="s">
        <v>719</v>
      </c>
      <c r="B34" s="396" t="s">
        <v>736</v>
      </c>
      <c r="C34" s="385">
        <v>13500000</v>
      </c>
      <c r="D34" s="385">
        <v>13500000</v>
      </c>
      <c r="E34" s="368">
        <v>13426610</v>
      </c>
    </row>
    <row r="35" spans="1:5" s="541" customFormat="1" ht="12" customHeight="1" thickBot="1">
      <c r="A35" s="526" t="s">
        <v>721</v>
      </c>
      <c r="B35" s="376" t="s">
        <v>326</v>
      </c>
      <c r="C35" s="387">
        <v>15200000</v>
      </c>
      <c r="D35" s="387">
        <v>15200000</v>
      </c>
      <c r="E35" s="370">
        <f>103820481-E33-E34-72857761</f>
        <v>17510910</v>
      </c>
    </row>
    <row r="36" spans="1:5" s="541" customFormat="1" ht="12" customHeight="1" thickBot="1">
      <c r="A36" s="357" t="s">
        <v>11</v>
      </c>
      <c r="B36" s="353" t="s">
        <v>327</v>
      </c>
      <c r="C36" s="384">
        <f>SUM(C37:C46)</f>
        <v>32189000</v>
      </c>
      <c r="D36" s="384">
        <f>SUM(D37:D46)</f>
        <v>37493000</v>
      </c>
      <c r="E36" s="367">
        <f>SUM(E37:E46)</f>
        <v>29431461</v>
      </c>
    </row>
    <row r="37" spans="1:5" s="541" customFormat="1" ht="12" customHeight="1">
      <c r="A37" s="524" t="s">
        <v>64</v>
      </c>
      <c r="B37" s="395" t="s">
        <v>328</v>
      </c>
      <c r="C37" s="386">
        <v>7087000</v>
      </c>
      <c r="D37" s="386">
        <v>7087000</v>
      </c>
      <c r="E37" s="369">
        <v>781982</v>
      </c>
    </row>
    <row r="38" spans="1:5" s="541" customFormat="1" ht="12" customHeight="1">
      <c r="A38" s="525" t="s">
        <v>65</v>
      </c>
      <c r="B38" s="396" t="s">
        <v>329</v>
      </c>
      <c r="C38" s="385">
        <v>11300000</v>
      </c>
      <c r="D38" s="385">
        <v>13300000</v>
      </c>
      <c r="E38" s="368">
        <v>11131341</v>
      </c>
    </row>
    <row r="39" spans="1:5" s="541" customFormat="1" ht="12" customHeight="1">
      <c r="A39" s="525" t="s">
        <v>66</v>
      </c>
      <c r="B39" s="396" t="s">
        <v>330</v>
      </c>
      <c r="C39" s="385">
        <v>1500000</v>
      </c>
      <c r="D39" s="385">
        <v>1500000</v>
      </c>
      <c r="E39" s="368">
        <v>1326491</v>
      </c>
    </row>
    <row r="40" spans="1:5" s="541" customFormat="1" ht="12" customHeight="1">
      <c r="A40" s="525" t="s">
        <v>125</v>
      </c>
      <c r="B40" s="396" t="s">
        <v>331</v>
      </c>
      <c r="C40" s="385">
        <v>3500000</v>
      </c>
      <c r="D40" s="385">
        <v>3500000</v>
      </c>
      <c r="E40" s="368"/>
    </row>
    <row r="41" spans="1:5" s="541" customFormat="1" ht="12" customHeight="1">
      <c r="A41" s="525" t="s">
        <v>126</v>
      </c>
      <c r="B41" s="396" t="s">
        <v>332</v>
      </c>
      <c r="C41" s="385"/>
      <c r="D41" s="385"/>
      <c r="E41" s="368"/>
    </row>
    <row r="42" spans="1:5" s="541" customFormat="1" ht="12" customHeight="1">
      <c r="A42" s="525" t="s">
        <v>127</v>
      </c>
      <c r="B42" s="396" t="s">
        <v>333</v>
      </c>
      <c r="C42" s="385">
        <v>8802000</v>
      </c>
      <c r="D42" s="385">
        <v>12106000</v>
      </c>
      <c r="E42" s="368">
        <v>4868001</v>
      </c>
    </row>
    <row r="43" spans="1:5" s="541" customFormat="1" ht="12" customHeight="1">
      <c r="A43" s="525" t="s">
        <v>128</v>
      </c>
      <c r="B43" s="396" t="s">
        <v>334</v>
      </c>
      <c r="C43" s="385"/>
      <c r="D43" s="385"/>
      <c r="E43" s="368"/>
    </row>
    <row r="44" spans="1:5" s="541" customFormat="1" ht="12" customHeight="1">
      <c r="A44" s="525" t="s">
        <v>129</v>
      </c>
      <c r="B44" s="396" t="s">
        <v>335</v>
      </c>
      <c r="C44" s="385"/>
      <c r="D44" s="385"/>
      <c r="E44" s="368">
        <v>9366</v>
      </c>
    </row>
    <row r="45" spans="1:5" s="541" customFormat="1" ht="12" customHeight="1">
      <c r="A45" s="525" t="s">
        <v>336</v>
      </c>
      <c r="B45" s="396" t="s">
        <v>337</v>
      </c>
      <c r="C45" s="388"/>
      <c r="D45" s="388"/>
      <c r="E45" s="371"/>
    </row>
    <row r="46" spans="1:5" s="514" customFormat="1" ht="12" customHeight="1" thickBot="1">
      <c r="A46" s="526" t="s">
        <v>338</v>
      </c>
      <c r="B46" s="397" t="s">
        <v>339</v>
      </c>
      <c r="C46" s="389"/>
      <c r="D46" s="389"/>
      <c r="E46" s="372">
        <v>11314280</v>
      </c>
    </row>
    <row r="47" spans="1:5" s="541" customFormat="1" ht="12" customHeight="1" thickBot="1">
      <c r="A47" s="357" t="s">
        <v>12</v>
      </c>
      <c r="B47" s="353" t="s">
        <v>340</v>
      </c>
      <c r="C47" s="384">
        <f>SUM(C48:C52)</f>
        <v>12712000</v>
      </c>
      <c r="D47" s="384">
        <f>SUM(D48:D52)</f>
        <v>34978000</v>
      </c>
      <c r="E47" s="367">
        <f>SUM(E48:E52)</f>
        <v>28204255</v>
      </c>
    </row>
    <row r="48" spans="1:5" s="541" customFormat="1" ht="12" customHeight="1">
      <c r="A48" s="524" t="s">
        <v>67</v>
      </c>
      <c r="B48" s="395" t="s">
        <v>341</v>
      </c>
      <c r="C48" s="405"/>
      <c r="D48" s="405"/>
      <c r="E48" s="373"/>
    </row>
    <row r="49" spans="1:5" s="541" customFormat="1" ht="12" customHeight="1">
      <c r="A49" s="525" t="s">
        <v>68</v>
      </c>
      <c r="B49" s="396" t="s">
        <v>342</v>
      </c>
      <c r="C49" s="388">
        <v>10712000</v>
      </c>
      <c r="D49" s="388">
        <v>32978000</v>
      </c>
      <c r="E49" s="371">
        <v>28120916</v>
      </c>
    </row>
    <row r="50" spans="1:5" s="541" customFormat="1" ht="12" customHeight="1">
      <c r="A50" s="525" t="s">
        <v>343</v>
      </c>
      <c r="B50" s="396" t="s">
        <v>344</v>
      </c>
      <c r="C50" s="388">
        <v>2000000</v>
      </c>
      <c r="D50" s="388">
        <v>2000000</v>
      </c>
      <c r="E50" s="371">
        <v>83339</v>
      </c>
    </row>
    <row r="51" spans="1:5" s="541" customFormat="1" ht="12" customHeight="1">
      <c r="A51" s="525" t="s">
        <v>345</v>
      </c>
      <c r="B51" s="396" t="s">
        <v>346</v>
      </c>
      <c r="C51" s="388"/>
      <c r="D51" s="388"/>
      <c r="E51" s="371"/>
    </row>
    <row r="52" spans="1:5" s="541" customFormat="1" ht="12" customHeight="1" thickBot="1">
      <c r="A52" s="526" t="s">
        <v>347</v>
      </c>
      <c r="B52" s="397" t="s">
        <v>348</v>
      </c>
      <c r="C52" s="389"/>
      <c r="D52" s="389"/>
      <c r="E52" s="372"/>
    </row>
    <row r="53" spans="1:5" s="541" customFormat="1" ht="12" customHeight="1" thickBot="1">
      <c r="A53" s="357" t="s">
        <v>130</v>
      </c>
      <c r="B53" s="353" t="s">
        <v>349</v>
      </c>
      <c r="C53" s="384">
        <f>SUM(C54:C56)</f>
        <v>0</v>
      </c>
      <c r="D53" s="384">
        <f>SUM(D54:D56)</f>
        <v>0</v>
      </c>
      <c r="E53" s="367">
        <f>SUM(E54:E56)</f>
        <v>0</v>
      </c>
    </row>
    <row r="54" spans="1:5" s="514" customFormat="1" ht="12" customHeight="1">
      <c r="A54" s="524" t="s">
        <v>69</v>
      </c>
      <c r="B54" s="395" t="s">
        <v>350</v>
      </c>
      <c r="C54" s="386"/>
      <c r="D54" s="386"/>
      <c r="E54" s="369"/>
    </row>
    <row r="55" spans="1:5" s="514" customFormat="1" ht="12" customHeight="1">
      <c r="A55" s="525" t="s">
        <v>70</v>
      </c>
      <c r="B55" s="396" t="s">
        <v>351</v>
      </c>
      <c r="C55" s="385"/>
      <c r="D55" s="385"/>
      <c r="E55" s="368"/>
    </row>
    <row r="56" spans="1:5" s="514" customFormat="1" ht="12" customHeight="1">
      <c r="A56" s="525" t="s">
        <v>352</v>
      </c>
      <c r="B56" s="396" t="s">
        <v>353</v>
      </c>
      <c r="C56" s="385"/>
      <c r="D56" s="385"/>
      <c r="E56" s="368"/>
    </row>
    <row r="57" spans="1:5" s="514" customFormat="1" ht="12" customHeight="1" thickBot="1">
      <c r="A57" s="526" t="s">
        <v>354</v>
      </c>
      <c r="B57" s="397" t="s">
        <v>355</v>
      </c>
      <c r="C57" s="387"/>
      <c r="D57" s="387"/>
      <c r="E57" s="370"/>
    </row>
    <row r="58" spans="1:5" s="541" customFormat="1" ht="12" customHeight="1" thickBot="1">
      <c r="A58" s="357" t="s">
        <v>14</v>
      </c>
      <c r="B58" s="374" t="s">
        <v>356</v>
      </c>
      <c r="C58" s="384">
        <f>SUM(C59:C61)</f>
        <v>17810000</v>
      </c>
      <c r="D58" s="384">
        <f>SUM(D59:D61)</f>
        <v>17810000</v>
      </c>
      <c r="E58" s="367">
        <f>SUM(E59:E61)</f>
        <v>3030600</v>
      </c>
    </row>
    <row r="59" spans="1:5" s="541" customFormat="1" ht="12" customHeight="1">
      <c r="A59" s="524" t="s">
        <v>131</v>
      </c>
      <c r="B59" s="395" t="s">
        <v>357</v>
      </c>
      <c r="C59" s="388"/>
      <c r="D59" s="388"/>
      <c r="E59" s="371"/>
    </row>
    <row r="60" spans="1:5" s="541" customFormat="1" ht="12" customHeight="1">
      <c r="A60" s="525" t="s">
        <v>132</v>
      </c>
      <c r="B60" s="396" t="s">
        <v>545</v>
      </c>
      <c r="C60" s="388">
        <v>810000</v>
      </c>
      <c r="D60" s="388">
        <v>810000</v>
      </c>
      <c r="E60" s="371"/>
    </row>
    <row r="61" spans="1:5" s="541" customFormat="1" ht="12" customHeight="1">
      <c r="A61" s="525" t="s">
        <v>157</v>
      </c>
      <c r="B61" s="396" t="s">
        <v>359</v>
      </c>
      <c r="C61" s="388">
        <v>17000000</v>
      </c>
      <c r="D61" s="388">
        <v>17000000</v>
      </c>
      <c r="E61" s="371">
        <v>3030600</v>
      </c>
    </row>
    <row r="62" spans="1:5" s="541" customFormat="1" ht="12" customHeight="1" thickBot="1">
      <c r="A62" s="526" t="s">
        <v>360</v>
      </c>
      <c r="B62" s="397" t="s">
        <v>361</v>
      </c>
      <c r="C62" s="388"/>
      <c r="D62" s="388"/>
      <c r="E62" s="371"/>
    </row>
    <row r="63" spans="1:5" s="541" customFormat="1" ht="12" customHeight="1" thickBot="1">
      <c r="A63" s="357" t="s">
        <v>15</v>
      </c>
      <c r="B63" s="353" t="s">
        <v>362</v>
      </c>
      <c r="C63" s="390">
        <f>+C8+C15+C22+C29+C36+C47+C53+C58</f>
        <v>987440736</v>
      </c>
      <c r="D63" s="390">
        <f>+D8+D15+D22+D29+D36+D47+D53+D58</f>
        <v>1088951886</v>
      </c>
      <c r="E63" s="403">
        <f>+E8+E15+E22+E29+E36+E47+E53+E58</f>
        <v>1129844527</v>
      </c>
    </row>
    <row r="64" spans="1:5" s="541" customFormat="1" ht="12" customHeight="1" thickBot="1">
      <c r="A64" s="527" t="s">
        <v>543</v>
      </c>
      <c r="B64" s="374" t="s">
        <v>364</v>
      </c>
      <c r="C64" s="384">
        <f>SUM(C65:C67)</f>
        <v>45359000</v>
      </c>
      <c r="D64" s="384">
        <f>SUM(D65:D67)</f>
        <v>20000000</v>
      </c>
      <c r="E64" s="367">
        <f>SUM(E65:E67)</f>
        <v>0</v>
      </c>
    </row>
    <row r="65" spans="1:5" s="541" customFormat="1" ht="12" customHeight="1">
      <c r="A65" s="524" t="s">
        <v>365</v>
      </c>
      <c r="B65" s="395" t="s">
        <v>366</v>
      </c>
      <c r="C65" s="388">
        <v>45359000</v>
      </c>
      <c r="D65" s="388">
        <v>20000000</v>
      </c>
      <c r="E65" s="371"/>
    </row>
    <row r="66" spans="1:5" s="541" customFormat="1" ht="12" customHeight="1">
      <c r="A66" s="525" t="s">
        <v>367</v>
      </c>
      <c r="B66" s="396" t="s">
        <v>368</v>
      </c>
      <c r="C66" s="388"/>
      <c r="D66" s="388"/>
      <c r="E66" s="371"/>
    </row>
    <row r="67" spans="1:5" s="541" customFormat="1" ht="12" customHeight="1" thickBot="1">
      <c r="A67" s="526" t="s">
        <v>369</v>
      </c>
      <c r="B67" s="520" t="s">
        <v>370</v>
      </c>
      <c r="C67" s="388"/>
      <c r="D67" s="388"/>
      <c r="E67" s="371"/>
    </row>
    <row r="68" spans="1:5" s="541" customFormat="1" ht="12" customHeight="1" thickBot="1">
      <c r="A68" s="527" t="s">
        <v>371</v>
      </c>
      <c r="B68" s="374" t="s">
        <v>372</v>
      </c>
      <c r="C68" s="384">
        <f>SUM(C69:C72)</f>
        <v>0</v>
      </c>
      <c r="D68" s="384">
        <f>SUM(D69:D72)</f>
        <v>0</v>
      </c>
      <c r="E68" s="367">
        <f>SUM(E69:E72)</f>
        <v>0</v>
      </c>
    </row>
    <row r="69" spans="1:5" s="541" customFormat="1" ht="12" customHeight="1">
      <c r="A69" s="524" t="s">
        <v>108</v>
      </c>
      <c r="B69" s="395" t="s">
        <v>373</v>
      </c>
      <c r="C69" s="388"/>
      <c r="D69" s="388"/>
      <c r="E69" s="371"/>
    </row>
    <row r="70" spans="1:5" s="541" customFormat="1" ht="12" customHeight="1">
      <c r="A70" s="525" t="s">
        <v>109</v>
      </c>
      <c r="B70" s="396" t="s">
        <v>374</v>
      </c>
      <c r="C70" s="388"/>
      <c r="D70" s="388"/>
      <c r="E70" s="371"/>
    </row>
    <row r="71" spans="1:5" s="541" customFormat="1" ht="12" customHeight="1">
      <c r="A71" s="525" t="s">
        <v>375</v>
      </c>
      <c r="B71" s="396" t="s">
        <v>376</v>
      </c>
      <c r="C71" s="388"/>
      <c r="D71" s="388"/>
      <c r="E71" s="371"/>
    </row>
    <row r="72" spans="1:5" s="541" customFormat="1" ht="12" customHeight="1" thickBot="1">
      <c r="A72" s="526" t="s">
        <v>377</v>
      </c>
      <c r="B72" s="397" t="s">
        <v>378</v>
      </c>
      <c r="C72" s="388"/>
      <c r="D72" s="388"/>
      <c r="E72" s="371"/>
    </row>
    <row r="73" spans="1:5" s="541" customFormat="1" ht="12" customHeight="1" thickBot="1">
      <c r="A73" s="527" t="s">
        <v>379</v>
      </c>
      <c r="B73" s="374" t="s">
        <v>380</v>
      </c>
      <c r="C73" s="384">
        <f>SUM(C74:C75)</f>
        <v>40000000</v>
      </c>
      <c r="D73" s="384">
        <f>SUM(D74:D75)</f>
        <v>143005207</v>
      </c>
      <c r="E73" s="367">
        <f>SUM(E74:E75)</f>
        <v>143005207</v>
      </c>
    </row>
    <row r="74" spans="1:5" s="541" customFormat="1" ht="12" customHeight="1">
      <c r="A74" s="524" t="s">
        <v>381</v>
      </c>
      <c r="B74" s="395" t="s">
        <v>382</v>
      </c>
      <c r="C74" s="388">
        <v>40000000</v>
      </c>
      <c r="D74" s="388">
        <v>143005207</v>
      </c>
      <c r="E74" s="371">
        <v>143005207</v>
      </c>
    </row>
    <row r="75" spans="1:5" s="541" customFormat="1" ht="12" customHeight="1" thickBot="1">
      <c r="A75" s="526" t="s">
        <v>383</v>
      </c>
      <c r="B75" s="397" t="s">
        <v>384</v>
      </c>
      <c r="C75" s="388"/>
      <c r="D75" s="388"/>
      <c r="E75" s="371"/>
    </row>
    <row r="76" spans="1:5" s="541" customFormat="1" ht="12" customHeight="1" thickBot="1">
      <c r="A76" s="527" t="s">
        <v>385</v>
      </c>
      <c r="B76" s="374" t="s">
        <v>386</v>
      </c>
      <c r="C76" s="384">
        <f>SUM(C77:C79)</f>
        <v>0</v>
      </c>
      <c r="D76" s="384">
        <f>SUM(D77:D79)</f>
        <v>0</v>
      </c>
      <c r="E76" s="367">
        <f>SUM(E77:E79)</f>
        <v>18143148</v>
      </c>
    </row>
    <row r="77" spans="1:5" s="541" customFormat="1" ht="12" customHeight="1">
      <c r="A77" s="524" t="s">
        <v>387</v>
      </c>
      <c r="B77" s="395" t="s">
        <v>388</v>
      </c>
      <c r="C77" s="388"/>
      <c r="D77" s="388"/>
      <c r="E77" s="371">
        <v>18143148</v>
      </c>
    </row>
    <row r="78" spans="1:5" s="541" customFormat="1" ht="12" customHeight="1">
      <c r="A78" s="525" t="s">
        <v>389</v>
      </c>
      <c r="B78" s="396" t="s">
        <v>390</v>
      </c>
      <c r="C78" s="388"/>
      <c r="D78" s="388"/>
      <c r="E78" s="371"/>
    </row>
    <row r="79" spans="1:5" s="541" customFormat="1" ht="12" customHeight="1" thickBot="1">
      <c r="A79" s="526" t="s">
        <v>391</v>
      </c>
      <c r="B79" s="397" t="s">
        <v>392</v>
      </c>
      <c r="C79" s="388"/>
      <c r="D79" s="388"/>
      <c r="E79" s="371"/>
    </row>
    <row r="80" spans="1:5" s="541" customFormat="1" ht="12" customHeight="1" thickBot="1">
      <c r="A80" s="527" t="s">
        <v>393</v>
      </c>
      <c r="B80" s="374" t="s">
        <v>394</v>
      </c>
      <c r="C80" s="384">
        <f>SUM(C81:C84)</f>
        <v>0</v>
      </c>
      <c r="D80" s="384">
        <f>SUM(D81:D84)</f>
        <v>0</v>
      </c>
      <c r="E80" s="367">
        <f>SUM(E81:E84)</f>
        <v>0</v>
      </c>
    </row>
    <row r="81" spans="1:5" s="541" customFormat="1" ht="12" customHeight="1">
      <c r="A81" s="528" t="s">
        <v>395</v>
      </c>
      <c r="B81" s="395" t="s">
        <v>396</v>
      </c>
      <c r="C81" s="388"/>
      <c r="D81" s="388"/>
      <c r="E81" s="371"/>
    </row>
    <row r="82" spans="1:5" s="541" customFormat="1" ht="12" customHeight="1">
      <c r="A82" s="529" t="s">
        <v>397</v>
      </c>
      <c r="B82" s="396" t="s">
        <v>398</v>
      </c>
      <c r="C82" s="388"/>
      <c r="D82" s="388"/>
      <c r="E82" s="371"/>
    </row>
    <row r="83" spans="1:5" s="541" customFormat="1" ht="12" customHeight="1">
      <c r="A83" s="529" t="s">
        <v>399</v>
      </c>
      <c r="B83" s="396" t="s">
        <v>400</v>
      </c>
      <c r="C83" s="388"/>
      <c r="D83" s="388"/>
      <c r="E83" s="371"/>
    </row>
    <row r="84" spans="1:5" s="541" customFormat="1" ht="12" customHeight="1" thickBot="1">
      <c r="A84" s="530" t="s">
        <v>401</v>
      </c>
      <c r="B84" s="397" t="s">
        <v>402</v>
      </c>
      <c r="C84" s="388"/>
      <c r="D84" s="388"/>
      <c r="E84" s="371"/>
    </row>
    <row r="85" spans="1:5" s="541" customFormat="1" ht="12" customHeight="1" thickBot="1">
      <c r="A85" s="527" t="s">
        <v>403</v>
      </c>
      <c r="B85" s="374" t="s">
        <v>404</v>
      </c>
      <c r="C85" s="409"/>
      <c r="D85" s="409"/>
      <c r="E85" s="410"/>
    </row>
    <row r="86" spans="1:5" s="541" customFormat="1" ht="12" customHeight="1" thickBot="1">
      <c r="A86" s="527" t="s">
        <v>405</v>
      </c>
      <c r="B86" s="521" t="s">
        <v>406</v>
      </c>
      <c r="C86" s="390">
        <f>+C64+C68+C73+C76+C80+C85</f>
        <v>85359000</v>
      </c>
      <c r="D86" s="390">
        <f>+D64+D68+D73+D76+D80+D85</f>
        <v>163005207</v>
      </c>
      <c r="E86" s="403">
        <f>+E64+E68+E73+E76+E80+E85</f>
        <v>161148355</v>
      </c>
    </row>
    <row r="87" spans="1:5" s="541" customFormat="1" ht="12" customHeight="1" thickBot="1">
      <c r="A87" s="531" t="s">
        <v>407</v>
      </c>
      <c r="B87" s="522" t="s">
        <v>544</v>
      </c>
      <c r="C87" s="390">
        <f>+C63+C86</f>
        <v>1072799736</v>
      </c>
      <c r="D87" s="390">
        <f>+D63+D86</f>
        <v>1251957093</v>
      </c>
      <c r="E87" s="403">
        <f>+E63+E86</f>
        <v>1290992882</v>
      </c>
    </row>
    <row r="88" spans="1:5" s="541" customFormat="1" ht="15" customHeight="1">
      <c r="A88" s="496"/>
      <c r="B88" s="497"/>
      <c r="C88" s="512"/>
      <c r="D88" s="512"/>
      <c r="E88" s="512"/>
    </row>
    <row r="89" spans="1:5" ht="13.5" thickBot="1">
      <c r="A89" s="498"/>
      <c r="B89" s="499"/>
      <c r="C89" s="513"/>
      <c r="D89" s="513"/>
      <c r="E89" s="513"/>
    </row>
    <row r="90" spans="1:5" s="540" customFormat="1" ht="16.5" customHeight="1" thickBot="1">
      <c r="A90" s="863" t="s">
        <v>43</v>
      </c>
      <c r="B90" s="864"/>
      <c r="C90" s="864"/>
      <c r="D90" s="864"/>
      <c r="E90" s="865"/>
    </row>
    <row r="91" spans="1:5" s="315" customFormat="1" ht="12" customHeight="1" thickBot="1">
      <c r="A91" s="519" t="s">
        <v>7</v>
      </c>
      <c r="B91" s="356" t="s">
        <v>415</v>
      </c>
      <c r="C91" s="503">
        <f>SUM(C92:C96)</f>
        <v>545705000</v>
      </c>
      <c r="D91" s="503">
        <f>SUM(D92:D96)</f>
        <v>596443534</v>
      </c>
      <c r="E91" s="503">
        <f>SUM(E92:E96)</f>
        <v>568120951</v>
      </c>
    </row>
    <row r="92" spans="1:5" ht="12" customHeight="1">
      <c r="A92" s="532" t="s">
        <v>71</v>
      </c>
      <c r="B92" s="342" t="s">
        <v>37</v>
      </c>
      <c r="C92" s="504">
        <v>288867000</v>
      </c>
      <c r="D92" s="504">
        <v>296758641</v>
      </c>
      <c r="E92" s="504">
        <v>295109649</v>
      </c>
    </row>
    <row r="93" spans="1:5" ht="12" customHeight="1">
      <c r="A93" s="525" t="s">
        <v>72</v>
      </c>
      <c r="B93" s="340" t="s">
        <v>133</v>
      </c>
      <c r="C93" s="505">
        <v>43267000</v>
      </c>
      <c r="D93" s="505">
        <v>45271433</v>
      </c>
      <c r="E93" s="505">
        <v>45271433</v>
      </c>
    </row>
    <row r="94" spans="1:5" ht="12" customHeight="1">
      <c r="A94" s="525" t="s">
        <v>73</v>
      </c>
      <c r="B94" s="340" t="s">
        <v>100</v>
      </c>
      <c r="C94" s="507">
        <v>132739000</v>
      </c>
      <c r="D94" s="507">
        <v>184875616</v>
      </c>
      <c r="E94" s="507">
        <v>168153071</v>
      </c>
    </row>
    <row r="95" spans="1:5" ht="12" customHeight="1">
      <c r="A95" s="525" t="s">
        <v>74</v>
      </c>
      <c r="B95" s="343" t="s">
        <v>134</v>
      </c>
      <c r="C95" s="507">
        <v>35992000</v>
      </c>
      <c r="D95" s="507">
        <v>16736586</v>
      </c>
      <c r="E95" s="507">
        <v>16669950</v>
      </c>
    </row>
    <row r="96" spans="1:5" ht="12" customHeight="1">
      <c r="A96" s="525" t="s">
        <v>83</v>
      </c>
      <c r="B96" s="351" t="s">
        <v>135</v>
      </c>
      <c r="C96" s="507">
        <v>44840000</v>
      </c>
      <c r="D96" s="507">
        <v>52801258</v>
      </c>
      <c r="E96" s="507">
        <f>50864307-'6.3. sz. mell'!E96</f>
        <v>42916848</v>
      </c>
    </row>
    <row r="97" spans="1:5" ht="12" customHeight="1">
      <c r="A97" s="525" t="s">
        <v>75</v>
      </c>
      <c r="B97" s="340" t="s">
        <v>416</v>
      </c>
      <c r="C97" s="507"/>
      <c r="D97" s="507"/>
      <c r="E97" s="507">
        <v>204800</v>
      </c>
    </row>
    <row r="98" spans="1:5" ht="12" customHeight="1">
      <c r="A98" s="525" t="s">
        <v>76</v>
      </c>
      <c r="B98" s="363" t="s">
        <v>417</v>
      </c>
      <c r="C98" s="507"/>
      <c r="D98" s="507"/>
      <c r="E98" s="507"/>
    </row>
    <row r="99" spans="1:5" ht="12" customHeight="1">
      <c r="A99" s="525" t="s">
        <v>84</v>
      </c>
      <c r="B99" s="364" t="s">
        <v>418</v>
      </c>
      <c r="C99" s="507"/>
      <c r="D99" s="507"/>
      <c r="E99" s="507"/>
    </row>
    <row r="100" spans="1:5" ht="12" customHeight="1">
      <c r="A100" s="525" t="s">
        <v>85</v>
      </c>
      <c r="B100" s="364" t="s">
        <v>419</v>
      </c>
      <c r="C100" s="507"/>
      <c r="D100" s="507"/>
      <c r="E100" s="507"/>
    </row>
    <row r="101" spans="1:5" ht="12" customHeight="1">
      <c r="A101" s="525" t="s">
        <v>86</v>
      </c>
      <c r="B101" s="363" t="s">
        <v>420</v>
      </c>
      <c r="C101" s="507">
        <v>40740000</v>
      </c>
      <c r="D101" s="507">
        <v>48701258</v>
      </c>
      <c r="E101" s="507">
        <v>38612048</v>
      </c>
    </row>
    <row r="102" spans="1:5" ht="12" customHeight="1">
      <c r="A102" s="525" t="s">
        <v>87</v>
      </c>
      <c r="B102" s="363" t="s">
        <v>421</v>
      </c>
      <c r="C102" s="507"/>
      <c r="D102" s="507"/>
      <c r="E102" s="507"/>
    </row>
    <row r="103" spans="1:5" ht="12" customHeight="1">
      <c r="A103" s="525" t="s">
        <v>89</v>
      </c>
      <c r="B103" s="364" t="s">
        <v>422</v>
      </c>
      <c r="C103" s="507"/>
      <c r="D103" s="507"/>
      <c r="E103" s="507"/>
    </row>
    <row r="104" spans="1:5" ht="12" customHeight="1">
      <c r="A104" s="533" t="s">
        <v>136</v>
      </c>
      <c r="B104" s="365" t="s">
        <v>423</v>
      </c>
      <c r="C104" s="507"/>
      <c r="D104" s="507"/>
      <c r="E104" s="507"/>
    </row>
    <row r="105" spans="1:5" ht="12" customHeight="1">
      <c r="A105" s="525" t="s">
        <v>424</v>
      </c>
      <c r="B105" s="365" t="s">
        <v>425</v>
      </c>
      <c r="C105" s="507"/>
      <c r="D105" s="507"/>
      <c r="E105" s="507"/>
    </row>
    <row r="106" spans="1:5" s="315" customFormat="1" ht="12" customHeight="1" thickBot="1">
      <c r="A106" s="534" t="s">
        <v>426</v>
      </c>
      <c r="B106" s="366" t="s">
        <v>427</v>
      </c>
      <c r="C106" s="509">
        <v>4100000</v>
      </c>
      <c r="D106" s="509">
        <v>4100000</v>
      </c>
      <c r="E106" s="509">
        <v>4100000</v>
      </c>
    </row>
    <row r="107" spans="1:5" ht="12" customHeight="1" thickBot="1">
      <c r="A107" s="357" t="s">
        <v>8</v>
      </c>
      <c r="B107" s="355" t="s">
        <v>428</v>
      </c>
      <c r="C107" s="378">
        <f>+C108+C110+C112</f>
        <v>65878000</v>
      </c>
      <c r="D107" s="378">
        <f>+D108+D110+D112</f>
        <v>156351448</v>
      </c>
      <c r="E107" s="378">
        <f>+E108+E110+E112</f>
        <v>133864036</v>
      </c>
    </row>
    <row r="108" spans="1:5" ht="12" customHeight="1">
      <c r="A108" s="524" t="s">
        <v>77</v>
      </c>
      <c r="B108" s="340" t="s">
        <v>155</v>
      </c>
      <c r="C108" s="506">
        <v>61278000</v>
      </c>
      <c r="D108" s="506">
        <v>118751448</v>
      </c>
      <c r="E108" s="506">
        <v>98483943</v>
      </c>
    </row>
    <row r="109" spans="1:5" ht="12" customHeight="1">
      <c r="A109" s="524" t="s">
        <v>78</v>
      </c>
      <c r="B109" s="344" t="s">
        <v>429</v>
      </c>
      <c r="C109" s="506"/>
      <c r="D109" s="506"/>
      <c r="E109" s="506"/>
    </row>
    <row r="110" spans="1:5" ht="12" customHeight="1">
      <c r="A110" s="524" t="s">
        <v>79</v>
      </c>
      <c r="B110" s="344" t="s">
        <v>137</v>
      </c>
      <c r="C110" s="505">
        <v>4600000</v>
      </c>
      <c r="D110" s="505">
        <v>37600000</v>
      </c>
      <c r="E110" s="505">
        <v>35380093</v>
      </c>
    </row>
    <row r="111" spans="1:5" ht="12" customHeight="1">
      <c r="A111" s="524" t="s">
        <v>80</v>
      </c>
      <c r="B111" s="344" t="s">
        <v>430</v>
      </c>
      <c r="C111" s="368"/>
      <c r="D111" s="368"/>
      <c r="E111" s="368"/>
    </row>
    <row r="112" spans="1:5" ht="12" customHeight="1">
      <c r="A112" s="524" t="s">
        <v>81</v>
      </c>
      <c r="B112" s="376" t="s">
        <v>158</v>
      </c>
      <c r="C112" s="368"/>
      <c r="D112" s="368"/>
      <c r="E112" s="368"/>
    </row>
    <row r="113" spans="1:5" ht="12" customHeight="1">
      <c r="A113" s="524" t="s">
        <v>88</v>
      </c>
      <c r="B113" s="375" t="s">
        <v>431</v>
      </c>
      <c r="C113" s="368"/>
      <c r="D113" s="368"/>
      <c r="E113" s="368"/>
    </row>
    <row r="114" spans="1:5" ht="12" customHeight="1">
      <c r="A114" s="524" t="s">
        <v>90</v>
      </c>
      <c r="B114" s="391" t="s">
        <v>432</v>
      </c>
      <c r="C114" s="368"/>
      <c r="D114" s="368"/>
      <c r="E114" s="368"/>
    </row>
    <row r="115" spans="1:5" ht="12" customHeight="1">
      <c r="A115" s="524" t="s">
        <v>138</v>
      </c>
      <c r="B115" s="364" t="s">
        <v>419</v>
      </c>
      <c r="C115" s="368"/>
      <c r="D115" s="368"/>
      <c r="E115" s="368"/>
    </row>
    <row r="116" spans="1:5" ht="12" customHeight="1">
      <c r="A116" s="524" t="s">
        <v>139</v>
      </c>
      <c r="B116" s="364" t="s">
        <v>433</v>
      </c>
      <c r="C116" s="368"/>
      <c r="D116" s="368"/>
      <c r="E116" s="368"/>
    </row>
    <row r="117" spans="1:5" ht="12" customHeight="1">
      <c r="A117" s="524" t="s">
        <v>140</v>
      </c>
      <c r="B117" s="364" t="s">
        <v>434</v>
      </c>
      <c r="C117" s="368"/>
      <c r="D117" s="368"/>
      <c r="E117" s="368"/>
    </row>
    <row r="118" spans="1:5" ht="12" customHeight="1">
      <c r="A118" s="524" t="s">
        <v>435</v>
      </c>
      <c r="B118" s="364" t="s">
        <v>422</v>
      </c>
      <c r="C118" s="368"/>
      <c r="D118" s="368"/>
      <c r="E118" s="368"/>
    </row>
    <row r="119" spans="1:5" ht="12" customHeight="1">
      <c r="A119" s="524" t="s">
        <v>436</v>
      </c>
      <c r="B119" s="364" t="s">
        <v>437</v>
      </c>
      <c r="C119" s="368"/>
      <c r="D119" s="368"/>
      <c r="E119" s="368"/>
    </row>
    <row r="120" spans="1:5" ht="12" customHeight="1" thickBot="1">
      <c r="A120" s="533" t="s">
        <v>438</v>
      </c>
      <c r="B120" s="364" t="s">
        <v>439</v>
      </c>
      <c r="C120" s="370"/>
      <c r="D120" s="370"/>
      <c r="E120" s="370"/>
    </row>
    <row r="121" spans="1:5" ht="12" customHeight="1" thickBot="1">
      <c r="A121" s="357" t="s">
        <v>9</v>
      </c>
      <c r="B121" s="360" t="s">
        <v>440</v>
      </c>
      <c r="C121" s="378">
        <f>+C122+C123</f>
        <v>0</v>
      </c>
      <c r="D121" s="378">
        <f>+D122+D123</f>
        <v>15000000</v>
      </c>
      <c r="E121" s="378">
        <f>+E122+E123</f>
        <v>0</v>
      </c>
    </row>
    <row r="122" spans="1:5" ht="12" customHeight="1">
      <c r="A122" s="524" t="s">
        <v>60</v>
      </c>
      <c r="B122" s="341" t="s">
        <v>45</v>
      </c>
      <c r="C122" s="506"/>
      <c r="D122" s="506"/>
      <c r="E122" s="506"/>
    </row>
    <row r="123" spans="1:5" ht="12" customHeight="1" thickBot="1">
      <c r="A123" s="526" t="s">
        <v>61</v>
      </c>
      <c r="B123" s="344" t="s">
        <v>46</v>
      </c>
      <c r="C123" s="507"/>
      <c r="D123" s="507">
        <v>15000000</v>
      </c>
      <c r="E123" s="507"/>
    </row>
    <row r="124" spans="1:5" ht="12" customHeight="1" thickBot="1">
      <c r="A124" s="357" t="s">
        <v>10</v>
      </c>
      <c r="B124" s="360" t="s">
        <v>441</v>
      </c>
      <c r="C124" s="378">
        <f>+C91+C107+C121</f>
        <v>611583000</v>
      </c>
      <c r="D124" s="378">
        <f>+D91+D107+D121</f>
        <v>767794982</v>
      </c>
      <c r="E124" s="378">
        <f>+E91+E107+E121</f>
        <v>701984987</v>
      </c>
    </row>
    <row r="125" spans="1:5" ht="12" customHeight="1" thickBot="1">
      <c r="A125" s="357" t="s">
        <v>11</v>
      </c>
      <c r="B125" s="360" t="s">
        <v>546</v>
      </c>
      <c r="C125" s="378">
        <f>+C126+C127+C128</f>
        <v>1633000</v>
      </c>
      <c r="D125" s="378">
        <f>+D126+D127+D128</f>
        <v>1633000</v>
      </c>
      <c r="E125" s="378">
        <f>+E126+E127+E128</f>
        <v>1633000</v>
      </c>
    </row>
    <row r="126" spans="1:5" ht="12" customHeight="1">
      <c r="A126" s="524" t="s">
        <v>64</v>
      </c>
      <c r="B126" s="341" t="s">
        <v>443</v>
      </c>
      <c r="C126" s="368">
        <v>1633000</v>
      </c>
      <c r="D126" s="368">
        <v>1633000</v>
      </c>
      <c r="E126" s="368">
        <v>1633000</v>
      </c>
    </row>
    <row r="127" spans="1:5" ht="12" customHeight="1">
      <c r="A127" s="524" t="s">
        <v>65</v>
      </c>
      <c r="B127" s="341" t="s">
        <v>444</v>
      </c>
      <c r="C127" s="368"/>
      <c r="D127" s="368"/>
      <c r="E127" s="368"/>
    </row>
    <row r="128" spans="1:5" ht="12" customHeight="1" thickBot="1">
      <c r="A128" s="533" t="s">
        <v>66</v>
      </c>
      <c r="B128" s="339" t="s">
        <v>445</v>
      </c>
      <c r="C128" s="368"/>
      <c r="D128" s="368"/>
      <c r="E128" s="368"/>
    </row>
    <row r="129" spans="1:11" ht="12" customHeight="1" thickBot="1">
      <c r="A129" s="357" t="s">
        <v>12</v>
      </c>
      <c r="B129" s="360" t="s">
        <v>446</v>
      </c>
      <c r="C129" s="378">
        <f>+C130+C131+C132+C133</f>
        <v>0</v>
      </c>
      <c r="D129" s="378">
        <f>+D130+D131+D132+D133</f>
        <v>0</v>
      </c>
      <c r="E129" s="378">
        <f>+E130+E131+E132+E133</f>
        <v>0</v>
      </c>
    </row>
    <row r="130" spans="1:11" ht="12" customHeight="1">
      <c r="A130" s="524" t="s">
        <v>67</v>
      </c>
      <c r="B130" s="341" t="s">
        <v>447</v>
      </c>
      <c r="C130" s="368"/>
      <c r="D130" s="368"/>
      <c r="E130" s="368"/>
    </row>
    <row r="131" spans="1:11" ht="12" customHeight="1">
      <c r="A131" s="524" t="s">
        <v>68</v>
      </c>
      <c r="B131" s="341" t="s">
        <v>448</v>
      </c>
      <c r="C131" s="368"/>
      <c r="D131" s="368"/>
      <c r="E131" s="368"/>
    </row>
    <row r="132" spans="1:11" ht="12" customHeight="1">
      <c r="A132" s="524" t="s">
        <v>343</v>
      </c>
      <c r="B132" s="341" t="s">
        <v>449</v>
      </c>
      <c r="C132" s="368"/>
      <c r="D132" s="368"/>
      <c r="E132" s="368"/>
    </row>
    <row r="133" spans="1:11" s="315" customFormat="1" ht="12" customHeight="1" thickBot="1">
      <c r="A133" s="533" t="s">
        <v>345</v>
      </c>
      <c r="B133" s="339" t="s">
        <v>450</v>
      </c>
      <c r="C133" s="368"/>
      <c r="D133" s="368"/>
      <c r="E133" s="368"/>
    </row>
    <row r="134" spans="1:11" ht="13.5" thickBot="1">
      <c r="A134" s="357" t="s">
        <v>13</v>
      </c>
      <c r="B134" s="360" t="s">
        <v>662</v>
      </c>
      <c r="C134" s="508">
        <f>+C135+C136+C138+C139+C137</f>
        <v>459583736</v>
      </c>
      <c r="D134" s="508">
        <f>+D135+D136+D138+D139+D137</f>
        <v>482529111</v>
      </c>
      <c r="E134" s="508">
        <f>+E135+E136+E138+E139+E137</f>
        <v>397979920</v>
      </c>
      <c r="K134" s="487"/>
    </row>
    <row r="135" spans="1:11">
      <c r="A135" s="524" t="s">
        <v>69</v>
      </c>
      <c r="B135" s="341" t="s">
        <v>452</v>
      </c>
      <c r="C135" s="368"/>
      <c r="D135" s="368"/>
      <c r="E135" s="368"/>
    </row>
    <row r="136" spans="1:11" ht="12" customHeight="1">
      <c r="A136" s="524" t="s">
        <v>70</v>
      </c>
      <c r="B136" s="341" t="s">
        <v>453</v>
      </c>
      <c r="C136" s="368"/>
      <c r="D136" s="368">
        <v>16664290</v>
      </c>
      <c r="E136" s="368">
        <v>16664290</v>
      </c>
    </row>
    <row r="137" spans="1:11" ht="12" customHeight="1">
      <c r="A137" s="524" t="s">
        <v>352</v>
      </c>
      <c r="B137" s="341" t="s">
        <v>661</v>
      </c>
      <c r="C137" s="368">
        <v>458683736</v>
      </c>
      <c r="D137" s="368">
        <v>464964821</v>
      </c>
      <c r="E137" s="368">
        <v>380435756</v>
      </c>
    </row>
    <row r="138" spans="1:11" s="315" customFormat="1" ht="12" customHeight="1">
      <c r="A138" s="524" t="s">
        <v>354</v>
      </c>
      <c r="B138" s="341" t="s">
        <v>454</v>
      </c>
      <c r="C138" s="368"/>
      <c r="D138" s="368"/>
      <c r="E138" s="368"/>
    </row>
    <row r="139" spans="1:11" s="315" customFormat="1" ht="12" customHeight="1" thickBot="1">
      <c r="A139" s="533" t="s">
        <v>660</v>
      </c>
      <c r="B139" s="339" t="s">
        <v>455</v>
      </c>
      <c r="C139" s="368">
        <v>900000</v>
      </c>
      <c r="D139" s="368">
        <v>900000</v>
      </c>
      <c r="E139" s="368">
        <v>879874</v>
      </c>
    </row>
    <row r="140" spans="1:11" s="315" customFormat="1" ht="12" customHeight="1" thickBot="1">
      <c r="A140" s="357" t="s">
        <v>14</v>
      </c>
      <c r="B140" s="360" t="s">
        <v>547</v>
      </c>
      <c r="C140" s="510">
        <f>+C141+C142+C143+C144</f>
        <v>0</v>
      </c>
      <c r="D140" s="510">
        <f>+D141+D142+D143+D144</f>
        <v>0</v>
      </c>
      <c r="E140" s="510">
        <f>+E141+E142+E143+E144</f>
        <v>0</v>
      </c>
    </row>
    <row r="141" spans="1:11" s="315" customFormat="1" ht="12" customHeight="1">
      <c r="A141" s="524" t="s">
        <v>131</v>
      </c>
      <c r="B141" s="341" t="s">
        <v>457</v>
      </c>
      <c r="C141" s="368"/>
      <c r="D141" s="368"/>
      <c r="E141" s="368"/>
    </row>
    <row r="142" spans="1:11" s="315" customFormat="1" ht="12" customHeight="1">
      <c r="A142" s="524" t="s">
        <v>132</v>
      </c>
      <c r="B142" s="341" t="s">
        <v>458</v>
      </c>
      <c r="C142" s="368"/>
      <c r="D142" s="368"/>
      <c r="E142" s="368"/>
    </row>
    <row r="143" spans="1:11" s="315" customFormat="1" ht="12" customHeight="1">
      <c r="A143" s="524" t="s">
        <v>157</v>
      </c>
      <c r="B143" s="341" t="s">
        <v>459</v>
      </c>
      <c r="C143" s="368"/>
      <c r="D143" s="368"/>
      <c r="E143" s="368"/>
    </row>
    <row r="144" spans="1:11" ht="12.75" customHeight="1" thickBot="1">
      <c r="A144" s="524" t="s">
        <v>360</v>
      </c>
      <c r="B144" s="341" t="s">
        <v>460</v>
      </c>
      <c r="C144" s="368"/>
      <c r="D144" s="368"/>
      <c r="E144" s="368"/>
    </row>
    <row r="145" spans="1:5" ht="12" customHeight="1" thickBot="1">
      <c r="A145" s="357" t="s">
        <v>15</v>
      </c>
      <c r="B145" s="360" t="s">
        <v>461</v>
      </c>
      <c r="C145" s="523">
        <f>+C125+C129+C134+C140</f>
        <v>461216736</v>
      </c>
      <c r="D145" s="523">
        <f>+D125+D129+D134+D140</f>
        <v>484162111</v>
      </c>
      <c r="E145" s="523">
        <f>+E125+E129+E134+E140</f>
        <v>399612920</v>
      </c>
    </row>
    <row r="146" spans="1:5" ht="15" customHeight="1" thickBot="1">
      <c r="A146" s="535" t="s">
        <v>16</v>
      </c>
      <c r="B146" s="380" t="s">
        <v>462</v>
      </c>
      <c r="C146" s="523">
        <f>+C124+C145</f>
        <v>1072799736</v>
      </c>
      <c r="D146" s="523">
        <f>+D124+D145</f>
        <v>1251957093</v>
      </c>
      <c r="E146" s="523">
        <f>+E124+E145</f>
        <v>1101597907</v>
      </c>
    </row>
    <row r="147" spans="1:5" ht="13.5" thickBot="1">
      <c r="A147" s="42"/>
      <c r="B147" s="43"/>
      <c r="C147" s="44"/>
      <c r="D147" s="44"/>
      <c r="E147" s="44"/>
    </row>
    <row r="148" spans="1:5" ht="15" customHeight="1" thickBot="1">
      <c r="A148" s="647" t="s">
        <v>729</v>
      </c>
      <c r="B148" s="648"/>
      <c r="C148" s="113"/>
      <c r="D148" s="114"/>
      <c r="E148" s="111">
        <v>12</v>
      </c>
    </row>
    <row r="149" spans="1:5" ht="14.25" customHeight="1" thickBot="1">
      <c r="A149" s="649" t="s">
        <v>728</v>
      </c>
      <c r="B149" s="650"/>
      <c r="C149" s="113"/>
      <c r="D149" s="114"/>
      <c r="E149" s="111">
        <v>280</v>
      </c>
    </row>
  </sheetData>
  <sheetProtection formatCells="0"/>
  <mergeCells count="4">
    <mergeCell ref="B2:D2"/>
    <mergeCell ref="B3:D3"/>
    <mergeCell ref="A7:E7"/>
    <mergeCell ref="A90:E90"/>
  </mergeCells>
  <phoneticPr fontId="27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verticalDpi="300" r:id="rId1"/>
  <headerFooter alignWithMargins="0"/>
  <rowBreaks count="1" manualBreakCount="1">
    <brk id="87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92D050"/>
  </sheetPr>
  <dimension ref="A1:K149"/>
  <sheetViews>
    <sheetView view="pageLayout" zoomScaleNormal="100" zoomScaleSheetLayoutView="100" workbookViewId="0">
      <selection activeCell="E2" sqref="E2"/>
    </sheetView>
  </sheetViews>
  <sheetFormatPr defaultRowHeight="12.75"/>
  <cols>
    <col min="1" max="1" width="14.83203125" style="515" customWidth="1"/>
    <col min="2" max="2" width="65.33203125" style="516" customWidth="1"/>
    <col min="3" max="5" width="17" style="517" customWidth="1"/>
    <col min="6" max="16384" width="9.33203125" style="32"/>
  </cols>
  <sheetData>
    <row r="1" spans="1:5" s="491" customFormat="1" ht="16.5" customHeight="1" thickBot="1">
      <c r="A1" s="490"/>
      <c r="B1" s="492"/>
      <c r="C1" s="537"/>
      <c r="D1" s="502"/>
      <c r="E1" s="537" t="str">
        <f>+CONCATENATE("6.3. melléklet a 15/",LEFT(ÖSSZEFÜGGÉSEK!A4,4)+1,". (V. 30.) önkormányzati rendelethez")</f>
        <v>6.3. melléklet a 15/2017. (V. 30.) önkormányzati rendelethez</v>
      </c>
    </row>
    <row r="2" spans="1:5" s="538" customFormat="1" ht="15.75" customHeight="1">
      <c r="A2" s="518" t="s">
        <v>52</v>
      </c>
      <c r="B2" s="866" t="s">
        <v>731</v>
      </c>
      <c r="C2" s="867"/>
      <c r="D2" s="868"/>
      <c r="E2" s="511" t="s">
        <v>41</v>
      </c>
    </row>
    <row r="3" spans="1:5" s="538" customFormat="1" ht="24.75" thickBot="1">
      <c r="A3" s="536" t="s">
        <v>542</v>
      </c>
      <c r="B3" s="869" t="s">
        <v>664</v>
      </c>
      <c r="C3" s="870"/>
      <c r="D3" s="871"/>
      <c r="E3" s="486" t="s">
        <v>48</v>
      </c>
    </row>
    <row r="4" spans="1:5" s="539" customFormat="1" ht="15.95" customHeight="1" thickBot="1">
      <c r="A4" s="493"/>
      <c r="B4" s="493"/>
      <c r="C4" s="494"/>
      <c r="D4" s="494"/>
      <c r="E4" s="494" t="s">
        <v>769</v>
      </c>
    </row>
    <row r="5" spans="1:5" ht="24.75" thickBot="1">
      <c r="A5" s="325" t="s">
        <v>148</v>
      </c>
      <c r="B5" s="326" t="s">
        <v>727</v>
      </c>
      <c r="C5" s="97" t="s">
        <v>178</v>
      </c>
      <c r="D5" s="97" t="s">
        <v>183</v>
      </c>
      <c r="E5" s="495" t="s">
        <v>184</v>
      </c>
    </row>
    <row r="6" spans="1:5" s="540" customFormat="1" ht="12.95" customHeight="1" thickBot="1">
      <c r="A6" s="488" t="s">
        <v>409</v>
      </c>
      <c r="B6" s="489" t="s">
        <v>410</v>
      </c>
      <c r="C6" s="489" t="s">
        <v>411</v>
      </c>
      <c r="D6" s="112" t="s">
        <v>412</v>
      </c>
      <c r="E6" s="110" t="s">
        <v>413</v>
      </c>
    </row>
    <row r="7" spans="1:5" s="540" customFormat="1" ht="15.95" customHeight="1" thickBot="1">
      <c r="A7" s="863" t="s">
        <v>42</v>
      </c>
      <c r="B7" s="864"/>
      <c r="C7" s="864"/>
      <c r="D7" s="864"/>
      <c r="E7" s="865"/>
    </row>
    <row r="8" spans="1:5" s="540" customFormat="1" ht="12" customHeight="1" thickBot="1">
      <c r="A8" s="357" t="s">
        <v>7</v>
      </c>
      <c r="B8" s="353" t="s">
        <v>301</v>
      </c>
      <c r="C8" s="384">
        <f>SUM(C9:C14)</f>
        <v>0</v>
      </c>
      <c r="D8" s="384">
        <f>SUM(D9:D14)</f>
        <v>0</v>
      </c>
      <c r="E8" s="367">
        <f>SUM(E9:E14)</f>
        <v>0</v>
      </c>
    </row>
    <row r="9" spans="1:5" s="514" customFormat="1" ht="12" customHeight="1">
      <c r="A9" s="524" t="s">
        <v>71</v>
      </c>
      <c r="B9" s="395" t="s">
        <v>302</v>
      </c>
      <c r="C9" s="386"/>
      <c r="D9" s="386"/>
      <c r="E9" s="369"/>
    </row>
    <row r="10" spans="1:5" s="541" customFormat="1" ht="12" customHeight="1">
      <c r="A10" s="525" t="s">
        <v>72</v>
      </c>
      <c r="B10" s="396" t="s">
        <v>303</v>
      </c>
      <c r="C10" s="385"/>
      <c r="D10" s="385"/>
      <c r="E10" s="368"/>
    </row>
    <row r="11" spans="1:5" s="541" customFormat="1" ht="12" customHeight="1">
      <c r="A11" s="525" t="s">
        <v>73</v>
      </c>
      <c r="B11" s="396" t="s">
        <v>304</v>
      </c>
      <c r="C11" s="385"/>
      <c r="D11" s="385"/>
      <c r="E11" s="368"/>
    </row>
    <row r="12" spans="1:5" s="541" customFormat="1" ht="12" customHeight="1">
      <c r="A12" s="525" t="s">
        <v>74</v>
      </c>
      <c r="B12" s="396" t="s">
        <v>305</v>
      </c>
      <c r="C12" s="385"/>
      <c r="D12" s="385"/>
      <c r="E12" s="368"/>
    </row>
    <row r="13" spans="1:5" s="541" customFormat="1" ht="12" customHeight="1">
      <c r="A13" s="525" t="s">
        <v>107</v>
      </c>
      <c r="B13" s="396" t="s">
        <v>306</v>
      </c>
      <c r="C13" s="385"/>
      <c r="D13" s="385"/>
      <c r="E13" s="368"/>
    </row>
    <row r="14" spans="1:5" s="514" customFormat="1" ht="12" customHeight="1" thickBot="1">
      <c r="A14" s="526" t="s">
        <v>75</v>
      </c>
      <c r="B14" s="397" t="s">
        <v>307</v>
      </c>
      <c r="C14" s="387"/>
      <c r="D14" s="387"/>
      <c r="E14" s="370"/>
    </row>
    <row r="15" spans="1:5" s="514" customFormat="1" ht="12" customHeight="1" thickBot="1">
      <c r="A15" s="357" t="s">
        <v>8</v>
      </c>
      <c r="B15" s="374" t="s">
        <v>308</v>
      </c>
      <c r="C15" s="384">
        <f>SUM(C16:C20)</f>
        <v>0</v>
      </c>
      <c r="D15" s="384">
        <f>SUM(D16:D20)</f>
        <v>0</v>
      </c>
      <c r="E15" s="367">
        <f>SUM(E16:E20)</f>
        <v>0</v>
      </c>
    </row>
    <row r="16" spans="1:5" s="514" customFormat="1" ht="12" customHeight="1">
      <c r="A16" s="524" t="s">
        <v>77</v>
      </c>
      <c r="B16" s="395" t="s">
        <v>309</v>
      </c>
      <c r="C16" s="386"/>
      <c r="D16" s="386"/>
      <c r="E16" s="369"/>
    </row>
    <row r="17" spans="1:5" s="514" customFormat="1" ht="12" customHeight="1">
      <c r="A17" s="525" t="s">
        <v>78</v>
      </c>
      <c r="B17" s="396" t="s">
        <v>310</v>
      </c>
      <c r="C17" s="385"/>
      <c r="D17" s="385"/>
      <c r="E17" s="368"/>
    </row>
    <row r="18" spans="1:5" s="514" customFormat="1" ht="12" customHeight="1">
      <c r="A18" s="525" t="s">
        <v>79</v>
      </c>
      <c r="B18" s="396" t="s">
        <v>311</v>
      </c>
      <c r="C18" s="385"/>
      <c r="D18" s="385"/>
      <c r="E18" s="368"/>
    </row>
    <row r="19" spans="1:5" s="514" customFormat="1" ht="12" customHeight="1">
      <c r="A19" s="525" t="s">
        <v>80</v>
      </c>
      <c r="B19" s="396" t="s">
        <v>312</v>
      </c>
      <c r="C19" s="385"/>
      <c r="D19" s="385"/>
      <c r="E19" s="368"/>
    </row>
    <row r="20" spans="1:5" s="514" customFormat="1" ht="12" customHeight="1">
      <c r="A20" s="525" t="s">
        <v>81</v>
      </c>
      <c r="B20" s="396" t="s">
        <v>313</v>
      </c>
      <c r="C20" s="385"/>
      <c r="D20" s="385"/>
      <c r="E20" s="368"/>
    </row>
    <row r="21" spans="1:5" s="541" customFormat="1" ht="12" customHeight="1" thickBot="1">
      <c r="A21" s="526" t="s">
        <v>88</v>
      </c>
      <c r="B21" s="397" t="s">
        <v>314</v>
      </c>
      <c r="C21" s="387"/>
      <c r="D21" s="387"/>
      <c r="E21" s="370"/>
    </row>
    <row r="22" spans="1:5" s="541" customFormat="1" ht="12" customHeight="1" thickBot="1">
      <c r="A22" s="357" t="s">
        <v>9</v>
      </c>
      <c r="B22" s="353" t="s">
        <v>315</v>
      </c>
      <c r="C22" s="384">
        <f>SUM(C23:C27)</f>
        <v>0</v>
      </c>
      <c r="D22" s="384">
        <f>SUM(D23:D27)</f>
        <v>0</v>
      </c>
      <c r="E22" s="367">
        <f>SUM(E23:E27)</f>
        <v>0</v>
      </c>
    </row>
    <row r="23" spans="1:5" s="541" customFormat="1" ht="12" customHeight="1">
      <c r="A23" s="524" t="s">
        <v>60</v>
      </c>
      <c r="B23" s="395" t="s">
        <v>316</v>
      </c>
      <c r="C23" s="386"/>
      <c r="D23" s="386"/>
      <c r="E23" s="369"/>
    </row>
    <row r="24" spans="1:5" s="514" customFormat="1" ht="12" customHeight="1">
      <c r="A24" s="525" t="s">
        <v>61</v>
      </c>
      <c r="B24" s="396" t="s">
        <v>317</v>
      </c>
      <c r="C24" s="385"/>
      <c r="D24" s="385"/>
      <c r="E24" s="368"/>
    </row>
    <row r="25" spans="1:5" s="541" customFormat="1" ht="12" customHeight="1">
      <c r="A25" s="525" t="s">
        <v>62</v>
      </c>
      <c r="B25" s="396" t="s">
        <v>318</v>
      </c>
      <c r="C25" s="385"/>
      <c r="D25" s="385"/>
      <c r="E25" s="368"/>
    </row>
    <row r="26" spans="1:5" s="541" customFormat="1" ht="12" customHeight="1">
      <c r="A26" s="525" t="s">
        <v>63</v>
      </c>
      <c r="B26" s="396" t="s">
        <v>319</v>
      </c>
      <c r="C26" s="385"/>
      <c r="D26" s="385"/>
      <c r="E26" s="368"/>
    </row>
    <row r="27" spans="1:5" s="541" customFormat="1" ht="12" customHeight="1">
      <c r="A27" s="525" t="s">
        <v>121</v>
      </c>
      <c r="B27" s="396" t="s">
        <v>320</v>
      </c>
      <c r="C27" s="385"/>
      <c r="D27" s="385"/>
      <c r="E27" s="368"/>
    </row>
    <row r="28" spans="1:5" s="541" customFormat="1" ht="12" customHeight="1" thickBot="1">
      <c r="A28" s="526" t="s">
        <v>122</v>
      </c>
      <c r="B28" s="397" t="s">
        <v>321</v>
      </c>
      <c r="C28" s="387"/>
      <c r="D28" s="387"/>
      <c r="E28" s="370"/>
    </row>
    <row r="29" spans="1:5" s="541" customFormat="1" ht="12" customHeight="1" thickBot="1">
      <c r="A29" s="357" t="s">
        <v>123</v>
      </c>
      <c r="B29" s="353" t="s">
        <v>718</v>
      </c>
      <c r="C29" s="390">
        <f>SUM(C30:C35)</f>
        <v>12500000</v>
      </c>
      <c r="D29" s="390">
        <f>SUM(D30:D35)</f>
        <v>12500000</v>
      </c>
      <c r="E29" s="403">
        <f>SUM(E30:E35)</f>
        <v>7947459</v>
      </c>
    </row>
    <row r="30" spans="1:5" s="541" customFormat="1" ht="12" customHeight="1">
      <c r="A30" s="524" t="s">
        <v>322</v>
      </c>
      <c r="B30" s="395" t="s">
        <v>722</v>
      </c>
      <c r="C30" s="386"/>
      <c r="D30" s="386"/>
      <c r="E30" s="369"/>
    </row>
    <row r="31" spans="1:5" s="541" customFormat="1" ht="12" customHeight="1">
      <c r="A31" s="525" t="s">
        <v>323</v>
      </c>
      <c r="B31" s="396" t="s">
        <v>723</v>
      </c>
      <c r="C31" s="385"/>
      <c r="D31" s="385"/>
      <c r="E31" s="368"/>
    </row>
    <row r="32" spans="1:5" s="541" customFormat="1" ht="12" customHeight="1">
      <c r="A32" s="525" t="s">
        <v>324</v>
      </c>
      <c r="B32" s="396" t="s">
        <v>724</v>
      </c>
      <c r="C32" s="385">
        <v>12500000</v>
      </c>
      <c r="D32" s="385">
        <v>12500000</v>
      </c>
      <c r="E32" s="368">
        <v>7947459</v>
      </c>
    </row>
    <row r="33" spans="1:5" s="541" customFormat="1" ht="12" customHeight="1">
      <c r="A33" s="525" t="s">
        <v>719</v>
      </c>
      <c r="B33" s="396" t="s">
        <v>725</v>
      </c>
      <c r="C33" s="385"/>
      <c r="D33" s="385"/>
      <c r="E33" s="368"/>
    </row>
    <row r="34" spans="1:5" s="541" customFormat="1" ht="12" customHeight="1">
      <c r="A34" s="525" t="s">
        <v>720</v>
      </c>
      <c r="B34" s="396" t="s">
        <v>325</v>
      </c>
      <c r="C34" s="385"/>
      <c r="D34" s="385"/>
      <c r="E34" s="368"/>
    </row>
    <row r="35" spans="1:5" s="541" customFormat="1" ht="12" customHeight="1" thickBot="1">
      <c r="A35" s="526" t="s">
        <v>721</v>
      </c>
      <c r="B35" s="376" t="s">
        <v>326</v>
      </c>
      <c r="C35" s="387"/>
      <c r="D35" s="387"/>
      <c r="E35" s="370"/>
    </row>
    <row r="36" spans="1:5" s="541" customFormat="1" ht="12" customHeight="1" thickBot="1">
      <c r="A36" s="357" t="s">
        <v>11</v>
      </c>
      <c r="B36" s="353" t="s">
        <v>327</v>
      </c>
      <c r="C36" s="384">
        <f>SUM(C37:C46)</f>
        <v>0</v>
      </c>
      <c r="D36" s="384">
        <f>SUM(D37:D46)</f>
        <v>0</v>
      </c>
      <c r="E36" s="367">
        <f>SUM(E37:E46)</f>
        <v>0</v>
      </c>
    </row>
    <row r="37" spans="1:5" s="541" customFormat="1" ht="12" customHeight="1">
      <c r="A37" s="524" t="s">
        <v>64</v>
      </c>
      <c r="B37" s="395" t="s">
        <v>328</v>
      </c>
      <c r="C37" s="386"/>
      <c r="D37" s="386"/>
      <c r="E37" s="369"/>
    </row>
    <row r="38" spans="1:5" s="541" customFormat="1" ht="12" customHeight="1">
      <c r="A38" s="525" t="s">
        <v>65</v>
      </c>
      <c r="B38" s="396" t="s">
        <v>329</v>
      </c>
      <c r="C38" s="385"/>
      <c r="D38" s="385"/>
      <c r="E38" s="368"/>
    </row>
    <row r="39" spans="1:5" s="541" customFormat="1" ht="12" customHeight="1">
      <c r="A39" s="525" t="s">
        <v>66</v>
      </c>
      <c r="B39" s="396" t="s">
        <v>330</v>
      </c>
      <c r="C39" s="385"/>
      <c r="D39" s="385"/>
      <c r="E39" s="368"/>
    </row>
    <row r="40" spans="1:5" s="541" customFormat="1" ht="12" customHeight="1">
      <c r="A40" s="525" t="s">
        <v>125</v>
      </c>
      <c r="B40" s="396" t="s">
        <v>331</v>
      </c>
      <c r="C40" s="385"/>
      <c r="D40" s="385"/>
      <c r="E40" s="368"/>
    </row>
    <row r="41" spans="1:5" s="541" customFormat="1" ht="12" customHeight="1">
      <c r="A41" s="525" t="s">
        <v>126</v>
      </c>
      <c r="B41" s="396" t="s">
        <v>332</v>
      </c>
      <c r="C41" s="385"/>
      <c r="D41" s="385"/>
      <c r="E41" s="368"/>
    </row>
    <row r="42" spans="1:5" s="541" customFormat="1" ht="12" customHeight="1">
      <c r="A42" s="525" t="s">
        <v>127</v>
      </c>
      <c r="B42" s="396" t="s">
        <v>333</v>
      </c>
      <c r="C42" s="385"/>
      <c r="D42" s="385"/>
      <c r="E42" s="368"/>
    </row>
    <row r="43" spans="1:5" s="541" customFormat="1" ht="12" customHeight="1">
      <c r="A43" s="525" t="s">
        <v>128</v>
      </c>
      <c r="B43" s="396" t="s">
        <v>334</v>
      </c>
      <c r="C43" s="385"/>
      <c r="D43" s="385"/>
      <c r="E43" s="368"/>
    </row>
    <row r="44" spans="1:5" s="541" customFormat="1" ht="12" customHeight="1">
      <c r="A44" s="525" t="s">
        <v>129</v>
      </c>
      <c r="B44" s="396" t="s">
        <v>335</v>
      </c>
      <c r="C44" s="385"/>
      <c r="D44" s="385"/>
      <c r="E44" s="368"/>
    </row>
    <row r="45" spans="1:5" s="541" customFormat="1" ht="12" customHeight="1">
      <c r="A45" s="525" t="s">
        <v>336</v>
      </c>
      <c r="B45" s="396" t="s">
        <v>337</v>
      </c>
      <c r="C45" s="388"/>
      <c r="D45" s="388"/>
      <c r="E45" s="371"/>
    </row>
    <row r="46" spans="1:5" s="514" customFormat="1" ht="12" customHeight="1" thickBot="1">
      <c r="A46" s="526" t="s">
        <v>338</v>
      </c>
      <c r="B46" s="397" t="s">
        <v>339</v>
      </c>
      <c r="C46" s="389"/>
      <c r="D46" s="389"/>
      <c r="E46" s="372"/>
    </row>
    <row r="47" spans="1:5" s="541" customFormat="1" ht="12" customHeight="1" thickBot="1">
      <c r="A47" s="357" t="s">
        <v>12</v>
      </c>
      <c r="B47" s="353" t="s">
        <v>340</v>
      </c>
      <c r="C47" s="384">
        <f>SUM(C48:C52)</f>
        <v>0</v>
      </c>
      <c r="D47" s="384">
        <f>SUM(D48:D52)</f>
        <v>0</v>
      </c>
      <c r="E47" s="367">
        <f>SUM(E48:E52)</f>
        <v>0</v>
      </c>
    </row>
    <row r="48" spans="1:5" s="541" customFormat="1" ht="12" customHeight="1">
      <c r="A48" s="524" t="s">
        <v>67</v>
      </c>
      <c r="B48" s="395" t="s">
        <v>341</v>
      </c>
      <c r="C48" s="405"/>
      <c r="D48" s="405"/>
      <c r="E48" s="373"/>
    </row>
    <row r="49" spans="1:5" s="541" customFormat="1" ht="12" customHeight="1">
      <c r="A49" s="525" t="s">
        <v>68</v>
      </c>
      <c r="B49" s="396" t="s">
        <v>342</v>
      </c>
      <c r="C49" s="388"/>
      <c r="D49" s="388"/>
      <c r="E49" s="371"/>
    </row>
    <row r="50" spans="1:5" s="541" customFormat="1" ht="12" customHeight="1">
      <c r="A50" s="525" t="s">
        <v>343</v>
      </c>
      <c r="B50" s="396" t="s">
        <v>344</v>
      </c>
      <c r="C50" s="388"/>
      <c r="D50" s="388"/>
      <c r="E50" s="371"/>
    </row>
    <row r="51" spans="1:5" s="541" customFormat="1" ht="12" customHeight="1">
      <c r="A51" s="525" t="s">
        <v>345</v>
      </c>
      <c r="B51" s="396" t="s">
        <v>346</v>
      </c>
      <c r="C51" s="388"/>
      <c r="D51" s="388"/>
      <c r="E51" s="371"/>
    </row>
    <row r="52" spans="1:5" s="541" customFormat="1" ht="12" customHeight="1" thickBot="1">
      <c r="A52" s="526" t="s">
        <v>347</v>
      </c>
      <c r="B52" s="397" t="s">
        <v>348</v>
      </c>
      <c r="C52" s="389"/>
      <c r="D52" s="389"/>
      <c r="E52" s="372"/>
    </row>
    <row r="53" spans="1:5" s="541" customFormat="1" ht="12" customHeight="1" thickBot="1">
      <c r="A53" s="357" t="s">
        <v>130</v>
      </c>
      <c r="B53" s="353" t="s">
        <v>349</v>
      </c>
      <c r="C53" s="384">
        <f>SUM(C54:C56)</f>
        <v>0</v>
      </c>
      <c r="D53" s="384">
        <f>SUM(D54:D56)</f>
        <v>0</v>
      </c>
      <c r="E53" s="367">
        <f>SUM(E54:E56)</f>
        <v>0</v>
      </c>
    </row>
    <row r="54" spans="1:5" s="514" customFormat="1" ht="12" customHeight="1">
      <c r="A54" s="524" t="s">
        <v>69</v>
      </c>
      <c r="B54" s="395" t="s">
        <v>350</v>
      </c>
      <c r="C54" s="386"/>
      <c r="D54" s="386"/>
      <c r="E54" s="369"/>
    </row>
    <row r="55" spans="1:5" s="514" customFormat="1" ht="12" customHeight="1">
      <c r="A55" s="525" t="s">
        <v>70</v>
      </c>
      <c r="B55" s="396" t="s">
        <v>351</v>
      </c>
      <c r="C55" s="385"/>
      <c r="D55" s="385"/>
      <c r="E55" s="368"/>
    </row>
    <row r="56" spans="1:5" s="514" customFormat="1" ht="12" customHeight="1">
      <c r="A56" s="525" t="s">
        <v>352</v>
      </c>
      <c r="B56" s="396" t="s">
        <v>353</v>
      </c>
      <c r="C56" s="385"/>
      <c r="D56" s="385"/>
      <c r="E56" s="368"/>
    </row>
    <row r="57" spans="1:5" s="514" customFormat="1" ht="12" customHeight="1" thickBot="1">
      <c r="A57" s="526" t="s">
        <v>354</v>
      </c>
      <c r="B57" s="397" t="s">
        <v>355</v>
      </c>
      <c r="C57" s="387"/>
      <c r="D57" s="387"/>
      <c r="E57" s="370"/>
    </row>
    <row r="58" spans="1:5" s="541" customFormat="1" ht="12" customHeight="1" thickBot="1">
      <c r="A58" s="357" t="s">
        <v>14</v>
      </c>
      <c r="B58" s="374" t="s">
        <v>356</v>
      </c>
      <c r="C58" s="384">
        <f>SUM(C59:C61)</f>
        <v>0</v>
      </c>
      <c r="D58" s="384">
        <f>SUM(D59:D61)</f>
        <v>0</v>
      </c>
      <c r="E58" s="367">
        <f>SUM(E59:E61)</f>
        <v>0</v>
      </c>
    </row>
    <row r="59" spans="1:5" s="541" customFormat="1" ht="12" customHeight="1">
      <c r="A59" s="524" t="s">
        <v>131</v>
      </c>
      <c r="B59" s="395" t="s">
        <v>357</v>
      </c>
      <c r="C59" s="388"/>
      <c r="D59" s="388"/>
      <c r="E59" s="371"/>
    </row>
    <row r="60" spans="1:5" s="541" customFormat="1" ht="12" customHeight="1">
      <c r="A60" s="525" t="s">
        <v>132</v>
      </c>
      <c r="B60" s="396" t="s">
        <v>545</v>
      </c>
      <c r="C60" s="388"/>
      <c r="D60" s="388"/>
      <c r="E60" s="371"/>
    </row>
    <row r="61" spans="1:5" s="541" customFormat="1" ht="12" customHeight="1">
      <c r="A61" s="525" t="s">
        <v>157</v>
      </c>
      <c r="B61" s="396" t="s">
        <v>359</v>
      </c>
      <c r="C61" s="388"/>
      <c r="D61" s="388"/>
      <c r="E61" s="371"/>
    </row>
    <row r="62" spans="1:5" s="541" customFormat="1" ht="12" customHeight="1" thickBot="1">
      <c r="A62" s="526" t="s">
        <v>360</v>
      </c>
      <c r="B62" s="397" t="s">
        <v>361</v>
      </c>
      <c r="C62" s="388"/>
      <c r="D62" s="388"/>
      <c r="E62" s="371"/>
    </row>
    <row r="63" spans="1:5" s="541" customFormat="1" ht="12" customHeight="1" thickBot="1">
      <c r="A63" s="357" t="s">
        <v>15</v>
      </c>
      <c r="B63" s="353" t="s">
        <v>362</v>
      </c>
      <c r="C63" s="390">
        <f>+C8+C15+C22+C29+C36+C47+C53+C58</f>
        <v>12500000</v>
      </c>
      <c r="D63" s="390">
        <f>+D8+D15+D22+D29+D36+D47+D53+D58</f>
        <v>12500000</v>
      </c>
      <c r="E63" s="403">
        <f>+E8+E15+E22+E29+E36+E47+E53+E58</f>
        <v>7947459</v>
      </c>
    </row>
    <row r="64" spans="1:5" s="541" customFormat="1" ht="12" customHeight="1" thickBot="1">
      <c r="A64" s="527" t="s">
        <v>543</v>
      </c>
      <c r="B64" s="374" t="s">
        <v>364</v>
      </c>
      <c r="C64" s="384">
        <f>SUM(C65:C67)</f>
        <v>0</v>
      </c>
      <c r="D64" s="384">
        <f>SUM(D65:D67)</f>
        <v>0</v>
      </c>
      <c r="E64" s="367">
        <f>SUM(E65:E67)</f>
        <v>0</v>
      </c>
    </row>
    <row r="65" spans="1:5" s="541" customFormat="1" ht="12" customHeight="1">
      <c r="A65" s="524" t="s">
        <v>365</v>
      </c>
      <c r="B65" s="395" t="s">
        <v>366</v>
      </c>
      <c r="C65" s="388"/>
      <c r="D65" s="388"/>
      <c r="E65" s="371"/>
    </row>
    <row r="66" spans="1:5" s="541" customFormat="1" ht="12" customHeight="1">
      <c r="A66" s="525" t="s">
        <v>367</v>
      </c>
      <c r="B66" s="396" t="s">
        <v>368</v>
      </c>
      <c r="C66" s="388"/>
      <c r="D66" s="388"/>
      <c r="E66" s="371"/>
    </row>
    <row r="67" spans="1:5" s="541" customFormat="1" ht="12" customHeight="1" thickBot="1">
      <c r="A67" s="526" t="s">
        <v>369</v>
      </c>
      <c r="B67" s="520" t="s">
        <v>370</v>
      </c>
      <c r="C67" s="388"/>
      <c r="D67" s="388"/>
      <c r="E67" s="371"/>
    </row>
    <row r="68" spans="1:5" s="541" customFormat="1" ht="12" customHeight="1" thickBot="1">
      <c r="A68" s="527" t="s">
        <v>371</v>
      </c>
      <c r="B68" s="374" t="s">
        <v>372</v>
      </c>
      <c r="C68" s="384">
        <f>SUM(C69:C72)</f>
        <v>0</v>
      </c>
      <c r="D68" s="384">
        <f>SUM(D69:D72)</f>
        <v>0</v>
      </c>
      <c r="E68" s="367">
        <f>SUM(E69:E72)</f>
        <v>0</v>
      </c>
    </row>
    <row r="69" spans="1:5" s="541" customFormat="1" ht="12" customHeight="1">
      <c r="A69" s="524" t="s">
        <v>108</v>
      </c>
      <c r="B69" s="395" t="s">
        <v>373</v>
      </c>
      <c r="C69" s="388"/>
      <c r="D69" s="388"/>
      <c r="E69" s="371"/>
    </row>
    <row r="70" spans="1:5" s="541" customFormat="1" ht="12" customHeight="1">
      <c r="A70" s="525" t="s">
        <v>109</v>
      </c>
      <c r="B70" s="396" t="s">
        <v>374</v>
      </c>
      <c r="C70" s="388"/>
      <c r="D70" s="388"/>
      <c r="E70" s="371"/>
    </row>
    <row r="71" spans="1:5" s="541" customFormat="1" ht="12" customHeight="1">
      <c r="A71" s="525" t="s">
        <v>375</v>
      </c>
      <c r="B71" s="396" t="s">
        <v>376</v>
      </c>
      <c r="C71" s="388"/>
      <c r="D71" s="388"/>
      <c r="E71" s="371"/>
    </row>
    <row r="72" spans="1:5" s="541" customFormat="1" ht="12" customHeight="1" thickBot="1">
      <c r="A72" s="526" t="s">
        <v>377</v>
      </c>
      <c r="B72" s="397" t="s">
        <v>378</v>
      </c>
      <c r="C72" s="388"/>
      <c r="D72" s="388"/>
      <c r="E72" s="371"/>
    </row>
    <row r="73" spans="1:5" s="541" customFormat="1" ht="12" customHeight="1" thickBot="1">
      <c r="A73" s="527" t="s">
        <v>379</v>
      </c>
      <c r="B73" s="374" t="s">
        <v>380</v>
      </c>
      <c r="C73" s="384">
        <f>SUM(C74:C75)</f>
        <v>0</v>
      </c>
      <c r="D73" s="384">
        <f>SUM(D74:D75)</f>
        <v>0</v>
      </c>
      <c r="E73" s="367">
        <f>SUM(E74:E75)</f>
        <v>0</v>
      </c>
    </row>
    <row r="74" spans="1:5" s="541" customFormat="1" ht="12" customHeight="1">
      <c r="A74" s="524" t="s">
        <v>381</v>
      </c>
      <c r="B74" s="395" t="s">
        <v>382</v>
      </c>
      <c r="C74" s="388"/>
      <c r="D74" s="388"/>
      <c r="E74" s="371"/>
    </row>
    <row r="75" spans="1:5" s="541" customFormat="1" ht="12" customHeight="1" thickBot="1">
      <c r="A75" s="526" t="s">
        <v>383</v>
      </c>
      <c r="B75" s="397" t="s">
        <v>384</v>
      </c>
      <c r="C75" s="388"/>
      <c r="D75" s="388"/>
      <c r="E75" s="371"/>
    </row>
    <row r="76" spans="1:5" s="541" customFormat="1" ht="12" customHeight="1" thickBot="1">
      <c r="A76" s="527" t="s">
        <v>385</v>
      </c>
      <c r="B76" s="374" t="s">
        <v>386</v>
      </c>
      <c r="C76" s="384">
        <f>SUM(C77:C79)</f>
        <v>0</v>
      </c>
      <c r="D76" s="384">
        <f>SUM(D77:D79)</f>
        <v>0</v>
      </c>
      <c r="E76" s="367">
        <f>SUM(E77:E79)</f>
        <v>0</v>
      </c>
    </row>
    <row r="77" spans="1:5" s="541" customFormat="1" ht="12" customHeight="1">
      <c r="A77" s="524" t="s">
        <v>387</v>
      </c>
      <c r="B77" s="395" t="s">
        <v>388</v>
      </c>
      <c r="C77" s="388"/>
      <c r="D77" s="388"/>
      <c r="E77" s="371"/>
    </row>
    <row r="78" spans="1:5" s="541" customFormat="1" ht="12" customHeight="1">
      <c r="A78" s="525" t="s">
        <v>389</v>
      </c>
      <c r="B78" s="396" t="s">
        <v>390</v>
      </c>
      <c r="C78" s="388"/>
      <c r="D78" s="388"/>
      <c r="E78" s="371"/>
    </row>
    <row r="79" spans="1:5" s="541" customFormat="1" ht="12" customHeight="1" thickBot="1">
      <c r="A79" s="526" t="s">
        <v>391</v>
      </c>
      <c r="B79" s="397" t="s">
        <v>392</v>
      </c>
      <c r="C79" s="388"/>
      <c r="D79" s="388"/>
      <c r="E79" s="371"/>
    </row>
    <row r="80" spans="1:5" s="541" customFormat="1" ht="12" customHeight="1" thickBot="1">
      <c r="A80" s="527" t="s">
        <v>393</v>
      </c>
      <c r="B80" s="374" t="s">
        <v>394</v>
      </c>
      <c r="C80" s="384">
        <f>SUM(C81:C84)</f>
        <v>0</v>
      </c>
      <c r="D80" s="384">
        <f>SUM(D81:D84)</f>
        <v>0</v>
      </c>
      <c r="E80" s="367">
        <f>SUM(E81:E84)</f>
        <v>0</v>
      </c>
    </row>
    <row r="81" spans="1:5" s="541" customFormat="1" ht="12" customHeight="1">
      <c r="A81" s="528" t="s">
        <v>395</v>
      </c>
      <c r="B81" s="395" t="s">
        <v>396</v>
      </c>
      <c r="C81" s="388"/>
      <c r="D81" s="388"/>
      <c r="E81" s="371"/>
    </row>
    <row r="82" spans="1:5" s="541" customFormat="1" ht="12" customHeight="1">
      <c r="A82" s="529" t="s">
        <v>397</v>
      </c>
      <c r="B82" s="396" t="s">
        <v>398</v>
      </c>
      <c r="C82" s="388"/>
      <c r="D82" s="388"/>
      <c r="E82" s="371"/>
    </row>
    <row r="83" spans="1:5" s="541" customFormat="1" ht="12" customHeight="1">
      <c r="A83" s="529" t="s">
        <v>399</v>
      </c>
      <c r="B83" s="396" t="s">
        <v>400</v>
      </c>
      <c r="C83" s="388"/>
      <c r="D83" s="388"/>
      <c r="E83" s="371"/>
    </row>
    <row r="84" spans="1:5" s="541" customFormat="1" ht="12" customHeight="1" thickBot="1">
      <c r="A84" s="530" t="s">
        <v>401</v>
      </c>
      <c r="B84" s="397" t="s">
        <v>402</v>
      </c>
      <c r="C84" s="388"/>
      <c r="D84" s="388"/>
      <c r="E84" s="371"/>
    </row>
    <row r="85" spans="1:5" s="541" customFormat="1" ht="12" customHeight="1" thickBot="1">
      <c r="A85" s="527" t="s">
        <v>403</v>
      </c>
      <c r="B85" s="374" t="s">
        <v>404</v>
      </c>
      <c r="C85" s="409"/>
      <c r="D85" s="409"/>
      <c r="E85" s="410"/>
    </row>
    <row r="86" spans="1:5" s="541" customFormat="1" ht="12" customHeight="1" thickBot="1">
      <c r="A86" s="527" t="s">
        <v>405</v>
      </c>
      <c r="B86" s="521" t="s">
        <v>406</v>
      </c>
      <c r="C86" s="390">
        <f>+C64+C68+C73+C76+C80+C85</f>
        <v>0</v>
      </c>
      <c r="D86" s="390">
        <f>+D64+D68+D73+D76+D80+D85</f>
        <v>0</v>
      </c>
      <c r="E86" s="403">
        <f>+E64+E68+E73+E76+E80+E85</f>
        <v>0</v>
      </c>
    </row>
    <row r="87" spans="1:5" s="541" customFormat="1" ht="12" customHeight="1" thickBot="1">
      <c r="A87" s="531" t="s">
        <v>407</v>
      </c>
      <c r="B87" s="522" t="s">
        <v>544</v>
      </c>
      <c r="C87" s="390">
        <f>+C63+C86</f>
        <v>12500000</v>
      </c>
      <c r="D87" s="390">
        <f>+D63+D86</f>
        <v>12500000</v>
      </c>
      <c r="E87" s="403">
        <f>+E63+E86</f>
        <v>7947459</v>
      </c>
    </row>
    <row r="88" spans="1:5" s="541" customFormat="1" ht="15" customHeight="1">
      <c r="A88" s="496"/>
      <c r="B88" s="497"/>
      <c r="C88" s="512"/>
      <c r="D88" s="512"/>
      <c r="E88" s="512"/>
    </row>
    <row r="89" spans="1:5" ht="13.5" thickBot="1">
      <c r="A89" s="498"/>
      <c r="B89" s="499"/>
      <c r="C89" s="513"/>
      <c r="D89" s="513"/>
      <c r="E89" s="513"/>
    </row>
    <row r="90" spans="1:5" s="540" customFormat="1" ht="16.5" customHeight="1" thickBot="1">
      <c r="A90" s="863" t="s">
        <v>43</v>
      </c>
      <c r="B90" s="864"/>
      <c r="C90" s="864"/>
      <c r="D90" s="864"/>
      <c r="E90" s="865"/>
    </row>
    <row r="91" spans="1:5" s="315" customFormat="1" ht="12" customHeight="1" thickBot="1">
      <c r="A91" s="519" t="s">
        <v>7</v>
      </c>
      <c r="B91" s="356" t="s">
        <v>415</v>
      </c>
      <c r="C91" s="503">
        <f>SUM(C92:C96)</f>
        <v>12500000</v>
      </c>
      <c r="D91" s="503">
        <f>SUM(D92:D96)</f>
        <v>12500000</v>
      </c>
      <c r="E91" s="503">
        <f>SUM(E92:E96)</f>
        <v>7947459</v>
      </c>
    </row>
    <row r="92" spans="1:5" ht="12" customHeight="1">
      <c r="A92" s="532" t="s">
        <v>71</v>
      </c>
      <c r="B92" s="342" t="s">
        <v>37</v>
      </c>
      <c r="C92" s="504"/>
      <c r="D92" s="504"/>
      <c r="E92" s="504"/>
    </row>
    <row r="93" spans="1:5" ht="12" customHeight="1">
      <c r="A93" s="525" t="s">
        <v>72</v>
      </c>
      <c r="B93" s="340" t="s">
        <v>133</v>
      </c>
      <c r="C93" s="505"/>
      <c r="D93" s="505"/>
      <c r="E93" s="505"/>
    </row>
    <row r="94" spans="1:5" ht="12" customHeight="1">
      <c r="A94" s="525" t="s">
        <v>73</v>
      </c>
      <c r="B94" s="340" t="s">
        <v>100</v>
      </c>
      <c r="C94" s="507"/>
      <c r="D94" s="507"/>
      <c r="E94" s="507"/>
    </row>
    <row r="95" spans="1:5" ht="12" customHeight="1">
      <c r="A95" s="525" t="s">
        <v>74</v>
      </c>
      <c r="B95" s="343" t="s">
        <v>134</v>
      </c>
      <c r="C95" s="507"/>
      <c r="D95" s="507"/>
      <c r="E95" s="507"/>
    </row>
    <row r="96" spans="1:5" ht="12" customHeight="1">
      <c r="A96" s="525" t="s">
        <v>83</v>
      </c>
      <c r="B96" s="351" t="s">
        <v>135</v>
      </c>
      <c r="C96" s="507">
        <v>12500000</v>
      </c>
      <c r="D96" s="507">
        <v>12500000</v>
      </c>
      <c r="E96" s="507">
        <f>12047459-4100000</f>
        <v>7947459</v>
      </c>
    </row>
    <row r="97" spans="1:5" ht="12" customHeight="1">
      <c r="A97" s="525" t="s">
        <v>75</v>
      </c>
      <c r="B97" s="340" t="s">
        <v>416</v>
      </c>
      <c r="C97" s="507"/>
      <c r="D97" s="507"/>
      <c r="E97" s="507"/>
    </row>
    <row r="98" spans="1:5" ht="12" customHeight="1">
      <c r="A98" s="525" t="s">
        <v>76</v>
      </c>
      <c r="B98" s="363" t="s">
        <v>417</v>
      </c>
      <c r="C98" s="507"/>
      <c r="D98" s="507"/>
      <c r="E98" s="507"/>
    </row>
    <row r="99" spans="1:5" ht="12" customHeight="1">
      <c r="A99" s="525" t="s">
        <v>84</v>
      </c>
      <c r="B99" s="364" t="s">
        <v>418</v>
      </c>
      <c r="C99" s="507"/>
      <c r="D99" s="507"/>
      <c r="E99" s="507"/>
    </row>
    <row r="100" spans="1:5" ht="12" customHeight="1">
      <c r="A100" s="525" t="s">
        <v>85</v>
      </c>
      <c r="B100" s="364" t="s">
        <v>419</v>
      </c>
      <c r="C100" s="507"/>
      <c r="D100" s="507"/>
      <c r="E100" s="507"/>
    </row>
    <row r="101" spans="1:5" ht="12" customHeight="1">
      <c r="A101" s="525" t="s">
        <v>86</v>
      </c>
      <c r="B101" s="363" t="s">
        <v>420</v>
      </c>
      <c r="C101" s="507"/>
      <c r="D101" s="507"/>
      <c r="E101" s="507"/>
    </row>
    <row r="102" spans="1:5" ht="12" customHeight="1">
      <c r="A102" s="525" t="s">
        <v>87</v>
      </c>
      <c r="B102" s="363" t="s">
        <v>421</v>
      </c>
      <c r="C102" s="507"/>
      <c r="D102" s="507"/>
      <c r="E102" s="507"/>
    </row>
    <row r="103" spans="1:5" ht="12" customHeight="1">
      <c r="A103" s="525" t="s">
        <v>89</v>
      </c>
      <c r="B103" s="364" t="s">
        <v>422</v>
      </c>
      <c r="C103" s="507"/>
      <c r="D103" s="507"/>
      <c r="E103" s="507"/>
    </row>
    <row r="104" spans="1:5" ht="12" customHeight="1">
      <c r="A104" s="533" t="s">
        <v>136</v>
      </c>
      <c r="B104" s="365" t="s">
        <v>423</v>
      </c>
      <c r="C104" s="507"/>
      <c r="D104" s="507"/>
      <c r="E104" s="507"/>
    </row>
    <row r="105" spans="1:5" ht="12" customHeight="1">
      <c r="A105" s="525" t="s">
        <v>424</v>
      </c>
      <c r="B105" s="365" t="s">
        <v>425</v>
      </c>
      <c r="C105" s="507"/>
      <c r="D105" s="507"/>
      <c r="E105" s="507"/>
    </row>
    <row r="106" spans="1:5" s="315" customFormat="1" ht="12" customHeight="1" thickBot="1">
      <c r="A106" s="534" t="s">
        <v>426</v>
      </c>
      <c r="B106" s="366" t="s">
        <v>427</v>
      </c>
      <c r="C106" s="509">
        <v>12500000</v>
      </c>
      <c r="D106" s="509">
        <v>12500000</v>
      </c>
      <c r="E106" s="509">
        <f>12047459-4100000</f>
        <v>7947459</v>
      </c>
    </row>
    <row r="107" spans="1:5" ht="12" customHeight="1" thickBot="1">
      <c r="A107" s="357" t="s">
        <v>8</v>
      </c>
      <c r="B107" s="355" t="s">
        <v>428</v>
      </c>
      <c r="C107" s="378">
        <f>+C108+C110+C112</f>
        <v>0</v>
      </c>
      <c r="D107" s="378">
        <f>+D108+D110+D112</f>
        <v>0</v>
      </c>
      <c r="E107" s="378">
        <f>+E108+E110+E112</f>
        <v>0</v>
      </c>
    </row>
    <row r="108" spans="1:5" ht="12" customHeight="1">
      <c r="A108" s="524" t="s">
        <v>77</v>
      </c>
      <c r="B108" s="340" t="s">
        <v>155</v>
      </c>
      <c r="C108" s="506"/>
      <c r="D108" s="506"/>
      <c r="E108" s="506"/>
    </row>
    <row r="109" spans="1:5" ht="12" customHeight="1">
      <c r="A109" s="524" t="s">
        <v>78</v>
      </c>
      <c r="B109" s="344" t="s">
        <v>429</v>
      </c>
      <c r="C109" s="506"/>
      <c r="D109" s="506"/>
      <c r="E109" s="506"/>
    </row>
    <row r="110" spans="1:5" ht="12" customHeight="1">
      <c r="A110" s="524" t="s">
        <v>79</v>
      </c>
      <c r="B110" s="344" t="s">
        <v>137</v>
      </c>
      <c r="C110" s="505"/>
      <c r="D110" s="505"/>
      <c r="E110" s="505"/>
    </row>
    <row r="111" spans="1:5" ht="12" customHeight="1">
      <c r="A111" s="524" t="s">
        <v>80</v>
      </c>
      <c r="B111" s="344" t="s">
        <v>430</v>
      </c>
      <c r="C111" s="368"/>
      <c r="D111" s="368"/>
      <c r="E111" s="368"/>
    </row>
    <row r="112" spans="1:5" ht="12" customHeight="1">
      <c r="A112" s="524" t="s">
        <v>81</v>
      </c>
      <c r="B112" s="376" t="s">
        <v>158</v>
      </c>
      <c r="C112" s="368"/>
      <c r="D112" s="368"/>
      <c r="E112" s="368"/>
    </row>
    <row r="113" spans="1:5" ht="12" customHeight="1">
      <c r="A113" s="524" t="s">
        <v>88</v>
      </c>
      <c r="B113" s="375" t="s">
        <v>431</v>
      </c>
      <c r="C113" s="368"/>
      <c r="D113" s="368"/>
      <c r="E113" s="368"/>
    </row>
    <row r="114" spans="1:5" ht="12" customHeight="1">
      <c r="A114" s="524" t="s">
        <v>90</v>
      </c>
      <c r="B114" s="391" t="s">
        <v>432</v>
      </c>
      <c r="C114" s="368"/>
      <c r="D114" s="368"/>
      <c r="E114" s="368"/>
    </row>
    <row r="115" spans="1:5" ht="12" customHeight="1">
      <c r="A115" s="524" t="s">
        <v>138</v>
      </c>
      <c r="B115" s="364" t="s">
        <v>419</v>
      </c>
      <c r="C115" s="368"/>
      <c r="D115" s="368"/>
      <c r="E115" s="368"/>
    </row>
    <row r="116" spans="1:5" ht="12" customHeight="1">
      <c r="A116" s="524" t="s">
        <v>139</v>
      </c>
      <c r="B116" s="364" t="s">
        <v>433</v>
      </c>
      <c r="C116" s="368"/>
      <c r="D116" s="368"/>
      <c r="E116" s="368"/>
    </row>
    <row r="117" spans="1:5" ht="12" customHeight="1">
      <c r="A117" s="524" t="s">
        <v>140</v>
      </c>
      <c r="B117" s="364" t="s">
        <v>434</v>
      </c>
      <c r="C117" s="368"/>
      <c r="D117" s="368"/>
      <c r="E117" s="368"/>
    </row>
    <row r="118" spans="1:5" ht="12" customHeight="1">
      <c r="A118" s="524" t="s">
        <v>435</v>
      </c>
      <c r="B118" s="364" t="s">
        <v>422</v>
      </c>
      <c r="C118" s="368"/>
      <c r="D118" s="368"/>
      <c r="E118" s="368"/>
    </row>
    <row r="119" spans="1:5" ht="12" customHeight="1">
      <c r="A119" s="524" t="s">
        <v>436</v>
      </c>
      <c r="B119" s="364" t="s">
        <v>437</v>
      </c>
      <c r="C119" s="368"/>
      <c r="D119" s="368"/>
      <c r="E119" s="368"/>
    </row>
    <row r="120" spans="1:5" ht="12" customHeight="1" thickBot="1">
      <c r="A120" s="533" t="s">
        <v>438</v>
      </c>
      <c r="B120" s="364" t="s">
        <v>439</v>
      </c>
      <c r="C120" s="370"/>
      <c r="D120" s="370"/>
      <c r="E120" s="370"/>
    </row>
    <row r="121" spans="1:5" ht="12" customHeight="1" thickBot="1">
      <c r="A121" s="357" t="s">
        <v>9</v>
      </c>
      <c r="B121" s="360" t="s">
        <v>440</v>
      </c>
      <c r="C121" s="378">
        <f>+C122+C123</f>
        <v>0</v>
      </c>
      <c r="D121" s="378">
        <f>+D122+D123</f>
        <v>0</v>
      </c>
      <c r="E121" s="378">
        <f>+E122+E123</f>
        <v>0</v>
      </c>
    </row>
    <row r="122" spans="1:5" ht="12" customHeight="1">
      <c r="A122" s="524" t="s">
        <v>60</v>
      </c>
      <c r="B122" s="341" t="s">
        <v>45</v>
      </c>
      <c r="C122" s="506"/>
      <c r="D122" s="506"/>
      <c r="E122" s="506"/>
    </row>
    <row r="123" spans="1:5" ht="12" customHeight="1" thickBot="1">
      <c r="A123" s="526" t="s">
        <v>61</v>
      </c>
      <c r="B123" s="344" t="s">
        <v>46</v>
      </c>
      <c r="C123" s="507"/>
      <c r="D123" s="507"/>
      <c r="E123" s="507"/>
    </row>
    <row r="124" spans="1:5" ht="12" customHeight="1" thickBot="1">
      <c r="A124" s="357" t="s">
        <v>10</v>
      </c>
      <c r="B124" s="360" t="s">
        <v>441</v>
      </c>
      <c r="C124" s="378">
        <f>+C91+C107+C121</f>
        <v>12500000</v>
      </c>
      <c r="D124" s="378">
        <f>+D91+D107+D121</f>
        <v>12500000</v>
      </c>
      <c r="E124" s="378">
        <f>+E91+E107+E121</f>
        <v>7947459</v>
      </c>
    </row>
    <row r="125" spans="1:5" ht="12" customHeight="1" thickBot="1">
      <c r="A125" s="357" t="s">
        <v>11</v>
      </c>
      <c r="B125" s="360" t="s">
        <v>546</v>
      </c>
      <c r="C125" s="378">
        <f>+C126+C127+C128</f>
        <v>0</v>
      </c>
      <c r="D125" s="378">
        <f>+D126+D127+D128</f>
        <v>0</v>
      </c>
      <c r="E125" s="378">
        <f>+E126+E127+E128</f>
        <v>0</v>
      </c>
    </row>
    <row r="126" spans="1:5" ht="12" customHeight="1">
      <c r="A126" s="524" t="s">
        <v>64</v>
      </c>
      <c r="B126" s="341" t="s">
        <v>443</v>
      </c>
      <c r="C126" s="368"/>
      <c r="D126" s="368"/>
      <c r="E126" s="368"/>
    </row>
    <row r="127" spans="1:5" ht="12" customHeight="1">
      <c r="A127" s="524" t="s">
        <v>65</v>
      </c>
      <c r="B127" s="341" t="s">
        <v>444</v>
      </c>
      <c r="C127" s="368"/>
      <c r="D127" s="368"/>
      <c r="E127" s="368"/>
    </row>
    <row r="128" spans="1:5" ht="12" customHeight="1" thickBot="1">
      <c r="A128" s="533" t="s">
        <v>66</v>
      </c>
      <c r="B128" s="339" t="s">
        <v>445</v>
      </c>
      <c r="C128" s="368"/>
      <c r="D128" s="368"/>
      <c r="E128" s="368"/>
    </row>
    <row r="129" spans="1:11" ht="12" customHeight="1" thickBot="1">
      <c r="A129" s="357" t="s">
        <v>12</v>
      </c>
      <c r="B129" s="360" t="s">
        <v>446</v>
      </c>
      <c r="C129" s="378">
        <f>+C130+C131+C132+C133</f>
        <v>0</v>
      </c>
      <c r="D129" s="378">
        <f>+D130+D131+D132+D133</f>
        <v>0</v>
      </c>
      <c r="E129" s="378">
        <f>+E130+E131+E132+E133</f>
        <v>0</v>
      </c>
    </row>
    <row r="130" spans="1:11" ht="12" customHeight="1">
      <c r="A130" s="524" t="s">
        <v>67</v>
      </c>
      <c r="B130" s="341" t="s">
        <v>447</v>
      </c>
      <c r="C130" s="368"/>
      <c r="D130" s="368"/>
      <c r="E130" s="368"/>
    </row>
    <row r="131" spans="1:11" ht="12" customHeight="1">
      <c r="A131" s="524" t="s">
        <v>68</v>
      </c>
      <c r="B131" s="341" t="s">
        <v>448</v>
      </c>
      <c r="C131" s="368"/>
      <c r="D131" s="368"/>
      <c r="E131" s="368"/>
    </row>
    <row r="132" spans="1:11" ht="12" customHeight="1">
      <c r="A132" s="524" t="s">
        <v>343</v>
      </c>
      <c r="B132" s="341" t="s">
        <v>449</v>
      </c>
      <c r="C132" s="368"/>
      <c r="D132" s="368"/>
      <c r="E132" s="368"/>
    </row>
    <row r="133" spans="1:11" s="315" customFormat="1" ht="12" customHeight="1" thickBot="1">
      <c r="A133" s="533" t="s">
        <v>345</v>
      </c>
      <c r="B133" s="339" t="s">
        <v>450</v>
      </c>
      <c r="C133" s="368"/>
      <c r="D133" s="368"/>
      <c r="E133" s="368"/>
    </row>
    <row r="134" spans="1:11" ht="13.5" thickBot="1">
      <c r="A134" s="357" t="s">
        <v>13</v>
      </c>
      <c r="B134" s="360" t="s">
        <v>662</v>
      </c>
      <c r="C134" s="508">
        <f>+C135+C136+C138+C139+C137</f>
        <v>0</v>
      </c>
      <c r="D134" s="508">
        <f>+D135+D136+D138+D139+D137</f>
        <v>0</v>
      </c>
      <c r="E134" s="508">
        <f>+E135+E136+E138+E139+E137</f>
        <v>0</v>
      </c>
      <c r="K134" s="487"/>
    </row>
    <row r="135" spans="1:11">
      <c r="A135" s="524" t="s">
        <v>69</v>
      </c>
      <c r="B135" s="341" t="s">
        <v>452</v>
      </c>
      <c r="C135" s="368"/>
      <c r="D135" s="368"/>
      <c r="E135" s="368"/>
    </row>
    <row r="136" spans="1:11" ht="12" customHeight="1">
      <c r="A136" s="524" t="s">
        <v>70</v>
      </c>
      <c r="B136" s="341" t="s">
        <v>453</v>
      </c>
      <c r="C136" s="368"/>
      <c r="D136" s="368"/>
      <c r="E136" s="368"/>
    </row>
    <row r="137" spans="1:11" ht="12" customHeight="1">
      <c r="A137" s="524" t="s">
        <v>352</v>
      </c>
      <c r="B137" s="341" t="s">
        <v>661</v>
      </c>
      <c r="C137" s="368"/>
      <c r="D137" s="368"/>
      <c r="E137" s="368"/>
    </row>
    <row r="138" spans="1:11" s="315" customFormat="1" ht="12" customHeight="1">
      <c r="A138" s="524" t="s">
        <v>354</v>
      </c>
      <c r="B138" s="341" t="s">
        <v>454</v>
      </c>
      <c r="C138" s="368"/>
      <c r="D138" s="368"/>
      <c r="E138" s="368"/>
    </row>
    <row r="139" spans="1:11" s="315" customFormat="1" ht="12" customHeight="1" thickBot="1">
      <c r="A139" s="533" t="s">
        <v>660</v>
      </c>
      <c r="B139" s="339" t="s">
        <v>455</v>
      </c>
      <c r="C139" s="368"/>
      <c r="D139" s="368"/>
      <c r="E139" s="368"/>
    </row>
    <row r="140" spans="1:11" s="315" customFormat="1" ht="12" customHeight="1" thickBot="1">
      <c r="A140" s="357" t="s">
        <v>14</v>
      </c>
      <c r="B140" s="360" t="s">
        <v>547</v>
      </c>
      <c r="C140" s="510">
        <f>+C141+C142+C143+C144</f>
        <v>0</v>
      </c>
      <c r="D140" s="510">
        <f>+D141+D142+D143+D144</f>
        <v>0</v>
      </c>
      <c r="E140" s="510">
        <f>+E141+E142+E143+E144</f>
        <v>0</v>
      </c>
    </row>
    <row r="141" spans="1:11" s="315" customFormat="1" ht="12" customHeight="1">
      <c r="A141" s="524" t="s">
        <v>131</v>
      </c>
      <c r="B141" s="341" t="s">
        <v>457</v>
      </c>
      <c r="C141" s="368"/>
      <c r="D141" s="368"/>
      <c r="E141" s="368"/>
    </row>
    <row r="142" spans="1:11" s="315" customFormat="1" ht="12" customHeight="1">
      <c r="A142" s="524" t="s">
        <v>132</v>
      </c>
      <c r="B142" s="341" t="s">
        <v>458</v>
      </c>
      <c r="C142" s="368"/>
      <c r="D142" s="368"/>
      <c r="E142" s="368"/>
    </row>
    <row r="143" spans="1:11" s="315" customFormat="1" ht="12" customHeight="1">
      <c r="A143" s="524" t="s">
        <v>157</v>
      </c>
      <c r="B143" s="341" t="s">
        <v>459</v>
      </c>
      <c r="C143" s="368"/>
      <c r="D143" s="368"/>
      <c r="E143" s="368"/>
    </row>
    <row r="144" spans="1:11" ht="12.75" customHeight="1" thickBot="1">
      <c r="A144" s="524" t="s">
        <v>360</v>
      </c>
      <c r="B144" s="341" t="s">
        <v>460</v>
      </c>
      <c r="C144" s="368"/>
      <c r="D144" s="368"/>
      <c r="E144" s="368"/>
    </row>
    <row r="145" spans="1:5" ht="12" customHeight="1" thickBot="1">
      <c r="A145" s="357" t="s">
        <v>15</v>
      </c>
      <c r="B145" s="360" t="s">
        <v>461</v>
      </c>
      <c r="C145" s="523">
        <f>+C125+C129+C134+C140</f>
        <v>0</v>
      </c>
      <c r="D145" s="523">
        <f>+D125+D129+D134+D140</f>
        <v>0</v>
      </c>
      <c r="E145" s="523">
        <f>+E125+E129+E134+E140</f>
        <v>0</v>
      </c>
    </row>
    <row r="146" spans="1:5" ht="15" customHeight="1" thickBot="1">
      <c r="A146" s="535" t="s">
        <v>16</v>
      </c>
      <c r="B146" s="380" t="s">
        <v>462</v>
      </c>
      <c r="C146" s="523">
        <f>+C124+C145</f>
        <v>12500000</v>
      </c>
      <c r="D146" s="523">
        <f>+D124+D145</f>
        <v>12500000</v>
      </c>
      <c r="E146" s="523">
        <f>+E124+E145</f>
        <v>7947459</v>
      </c>
    </row>
    <row r="147" spans="1:5" ht="13.5" thickBot="1">
      <c r="A147" s="42"/>
      <c r="B147" s="43"/>
      <c r="C147" s="44"/>
      <c r="D147" s="44"/>
      <c r="E147" s="44"/>
    </row>
    <row r="148" spans="1:5" ht="15" customHeight="1" thickBot="1">
      <c r="A148" s="647" t="s">
        <v>729</v>
      </c>
      <c r="B148" s="648"/>
      <c r="C148" s="113"/>
      <c r="D148" s="114"/>
      <c r="E148" s="111"/>
    </row>
    <row r="149" spans="1:5" ht="14.25" customHeight="1" thickBot="1">
      <c r="A149" s="649" t="s">
        <v>728</v>
      </c>
      <c r="B149" s="650"/>
      <c r="C149" s="113"/>
      <c r="D149" s="114"/>
      <c r="E149" s="111"/>
    </row>
  </sheetData>
  <sheetProtection formatCells="0"/>
  <mergeCells count="4">
    <mergeCell ref="B2:D2"/>
    <mergeCell ref="B3:D3"/>
    <mergeCell ref="A7:E7"/>
    <mergeCell ref="A90:E90"/>
  </mergeCells>
  <phoneticPr fontId="27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verticalDpi="300" r:id="rId1"/>
  <headerFooter alignWithMargins="0"/>
  <rowBreaks count="1" manualBreakCount="1">
    <brk id="87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92D050"/>
  </sheetPr>
  <dimension ref="A1:K149"/>
  <sheetViews>
    <sheetView view="pageLayout" zoomScaleNormal="100" zoomScaleSheetLayoutView="100" workbookViewId="0">
      <selection activeCell="E2" sqref="E2"/>
    </sheetView>
  </sheetViews>
  <sheetFormatPr defaultRowHeight="12.75"/>
  <cols>
    <col min="1" max="1" width="14.83203125" style="515" customWidth="1"/>
    <col min="2" max="2" width="65.33203125" style="516" customWidth="1"/>
    <col min="3" max="5" width="17" style="517" customWidth="1"/>
    <col min="6" max="16384" width="9.33203125" style="32"/>
  </cols>
  <sheetData>
    <row r="1" spans="1:5" s="491" customFormat="1" ht="16.5" customHeight="1" thickBot="1">
      <c r="A1" s="490"/>
      <c r="B1" s="492"/>
      <c r="C1" s="537"/>
      <c r="D1" s="502"/>
      <c r="E1" s="537" t="str">
        <f>+CONCATENATE("6.4. melléklet a 15/",LEFT(ÖSSZEFÜGGÉSEK!A4,4)+1,". (V. 30.) önkormányzati rendelethez")</f>
        <v>6.4. melléklet a 15/2017. (V. 30.) önkormányzati rendelethez</v>
      </c>
    </row>
    <row r="2" spans="1:5" s="538" customFormat="1" ht="15.75" customHeight="1">
      <c r="A2" s="518" t="s">
        <v>52</v>
      </c>
      <c r="B2" s="866" t="s">
        <v>731</v>
      </c>
      <c r="C2" s="867"/>
      <c r="D2" s="868"/>
      <c r="E2" s="511" t="s">
        <v>41</v>
      </c>
    </row>
    <row r="3" spans="1:5" s="538" customFormat="1" ht="24.75" thickBot="1">
      <c r="A3" s="536" t="s">
        <v>542</v>
      </c>
      <c r="B3" s="869" t="s">
        <v>665</v>
      </c>
      <c r="C3" s="870"/>
      <c r="D3" s="871"/>
      <c r="E3" s="486" t="s">
        <v>49</v>
      </c>
    </row>
    <row r="4" spans="1:5" s="539" customFormat="1" ht="15.95" customHeight="1" thickBot="1">
      <c r="A4" s="493"/>
      <c r="B4" s="493"/>
      <c r="C4" s="494"/>
      <c r="D4" s="494"/>
      <c r="E4" s="494" t="s">
        <v>769</v>
      </c>
    </row>
    <row r="5" spans="1:5" ht="24.75" thickBot="1">
      <c r="A5" s="325" t="s">
        <v>148</v>
      </c>
      <c r="B5" s="326" t="s">
        <v>727</v>
      </c>
      <c r="C5" s="97" t="s">
        <v>178</v>
      </c>
      <c r="D5" s="97" t="s">
        <v>183</v>
      </c>
      <c r="E5" s="495" t="s">
        <v>184</v>
      </c>
    </row>
    <row r="6" spans="1:5" s="540" customFormat="1" ht="12.95" customHeight="1" thickBot="1">
      <c r="A6" s="488" t="s">
        <v>409</v>
      </c>
      <c r="B6" s="489" t="s">
        <v>410</v>
      </c>
      <c r="C6" s="489" t="s">
        <v>411</v>
      </c>
      <c r="D6" s="112" t="s">
        <v>412</v>
      </c>
      <c r="E6" s="110" t="s">
        <v>413</v>
      </c>
    </row>
    <row r="7" spans="1:5" s="540" customFormat="1" ht="15.95" customHeight="1" thickBot="1">
      <c r="A7" s="863" t="s">
        <v>42</v>
      </c>
      <c r="B7" s="864"/>
      <c r="C7" s="864"/>
      <c r="D7" s="864"/>
      <c r="E7" s="865"/>
    </row>
    <row r="8" spans="1:5" s="540" customFormat="1" ht="12" customHeight="1" thickBot="1">
      <c r="A8" s="357" t="s">
        <v>7</v>
      </c>
      <c r="B8" s="353" t="s">
        <v>301</v>
      </c>
      <c r="C8" s="384">
        <f>SUM(C9:C14)</f>
        <v>0</v>
      </c>
      <c r="D8" s="384">
        <f>SUM(D9:D14)</f>
        <v>0</v>
      </c>
      <c r="E8" s="367">
        <f>SUM(E9:E14)</f>
        <v>0</v>
      </c>
    </row>
    <row r="9" spans="1:5" s="514" customFormat="1" ht="12" customHeight="1">
      <c r="A9" s="524" t="s">
        <v>71</v>
      </c>
      <c r="B9" s="395" t="s">
        <v>302</v>
      </c>
      <c r="C9" s="386"/>
      <c r="D9" s="386"/>
      <c r="E9" s="369"/>
    </row>
    <row r="10" spans="1:5" s="541" customFormat="1" ht="12" customHeight="1">
      <c r="A10" s="525" t="s">
        <v>72</v>
      </c>
      <c r="B10" s="396" t="s">
        <v>303</v>
      </c>
      <c r="C10" s="385"/>
      <c r="D10" s="385"/>
      <c r="E10" s="368"/>
    </row>
    <row r="11" spans="1:5" s="541" customFormat="1" ht="12" customHeight="1">
      <c r="A11" s="525" t="s">
        <v>73</v>
      </c>
      <c r="B11" s="396" t="s">
        <v>304</v>
      </c>
      <c r="C11" s="385"/>
      <c r="D11" s="385"/>
      <c r="E11" s="368"/>
    </row>
    <row r="12" spans="1:5" s="541" customFormat="1" ht="12" customHeight="1">
      <c r="A12" s="525" t="s">
        <v>74</v>
      </c>
      <c r="B12" s="396" t="s">
        <v>305</v>
      </c>
      <c r="C12" s="385"/>
      <c r="D12" s="385"/>
      <c r="E12" s="368"/>
    </row>
    <row r="13" spans="1:5" s="541" customFormat="1" ht="12" customHeight="1">
      <c r="A13" s="525" t="s">
        <v>107</v>
      </c>
      <c r="B13" s="396" t="s">
        <v>306</v>
      </c>
      <c r="C13" s="385"/>
      <c r="D13" s="385"/>
      <c r="E13" s="368"/>
    </row>
    <row r="14" spans="1:5" s="514" customFormat="1" ht="12" customHeight="1" thickBot="1">
      <c r="A14" s="526" t="s">
        <v>75</v>
      </c>
      <c r="B14" s="397" t="s">
        <v>307</v>
      </c>
      <c r="C14" s="387"/>
      <c r="D14" s="387"/>
      <c r="E14" s="370"/>
    </row>
    <row r="15" spans="1:5" s="514" customFormat="1" ht="12" customHeight="1" thickBot="1">
      <c r="A15" s="357" t="s">
        <v>8</v>
      </c>
      <c r="B15" s="374" t="s">
        <v>308</v>
      </c>
      <c r="C15" s="384">
        <f>SUM(C16:C20)</f>
        <v>0</v>
      </c>
      <c r="D15" s="384">
        <f>SUM(D16:D20)</f>
        <v>0</v>
      </c>
      <c r="E15" s="367">
        <f>SUM(E16:E20)</f>
        <v>0</v>
      </c>
    </row>
    <row r="16" spans="1:5" s="514" customFormat="1" ht="12" customHeight="1">
      <c r="A16" s="524" t="s">
        <v>77</v>
      </c>
      <c r="B16" s="395" t="s">
        <v>309</v>
      </c>
      <c r="C16" s="386"/>
      <c r="D16" s="386"/>
      <c r="E16" s="369"/>
    </row>
    <row r="17" spans="1:5" s="514" customFormat="1" ht="12" customHeight="1">
      <c r="A17" s="525" t="s">
        <v>78</v>
      </c>
      <c r="B17" s="396" t="s">
        <v>310</v>
      </c>
      <c r="C17" s="385"/>
      <c r="D17" s="385"/>
      <c r="E17" s="368"/>
    </row>
    <row r="18" spans="1:5" s="514" customFormat="1" ht="12" customHeight="1">
      <c r="A18" s="525" t="s">
        <v>79</v>
      </c>
      <c r="B18" s="396" t="s">
        <v>311</v>
      </c>
      <c r="C18" s="385"/>
      <c r="D18" s="385"/>
      <c r="E18" s="368"/>
    </row>
    <row r="19" spans="1:5" s="514" customFormat="1" ht="12" customHeight="1">
      <c r="A19" s="525" t="s">
        <v>80</v>
      </c>
      <c r="B19" s="396" t="s">
        <v>312</v>
      </c>
      <c r="C19" s="385"/>
      <c r="D19" s="385"/>
      <c r="E19" s="368"/>
    </row>
    <row r="20" spans="1:5" s="514" customFormat="1" ht="12" customHeight="1">
      <c r="A20" s="525" t="s">
        <v>81</v>
      </c>
      <c r="B20" s="396" t="s">
        <v>313</v>
      </c>
      <c r="C20" s="385"/>
      <c r="D20" s="385"/>
      <c r="E20" s="368"/>
    </row>
    <row r="21" spans="1:5" s="541" customFormat="1" ht="12" customHeight="1" thickBot="1">
      <c r="A21" s="526" t="s">
        <v>88</v>
      </c>
      <c r="B21" s="397" t="s">
        <v>314</v>
      </c>
      <c r="C21" s="387"/>
      <c r="D21" s="387"/>
      <c r="E21" s="370"/>
    </row>
    <row r="22" spans="1:5" s="541" customFormat="1" ht="12" customHeight="1" thickBot="1">
      <c r="A22" s="357" t="s">
        <v>9</v>
      </c>
      <c r="B22" s="353" t="s">
        <v>315</v>
      </c>
      <c r="C22" s="384">
        <f>SUM(C23:C27)</f>
        <v>0</v>
      </c>
      <c r="D22" s="384">
        <f>SUM(D23:D27)</f>
        <v>0</v>
      </c>
      <c r="E22" s="367">
        <f>SUM(E23:E27)</f>
        <v>0</v>
      </c>
    </row>
    <row r="23" spans="1:5" s="541" customFormat="1" ht="12" customHeight="1">
      <c r="A23" s="524" t="s">
        <v>60</v>
      </c>
      <c r="B23" s="395" t="s">
        <v>316</v>
      </c>
      <c r="C23" s="386"/>
      <c r="D23" s="386"/>
      <c r="E23" s="369"/>
    </row>
    <row r="24" spans="1:5" s="514" customFormat="1" ht="12" customHeight="1">
      <c r="A24" s="525" t="s">
        <v>61</v>
      </c>
      <c r="B24" s="396" t="s">
        <v>317</v>
      </c>
      <c r="C24" s="385"/>
      <c r="D24" s="385"/>
      <c r="E24" s="368"/>
    </row>
    <row r="25" spans="1:5" s="541" customFormat="1" ht="12" customHeight="1">
      <c r="A25" s="525" t="s">
        <v>62</v>
      </c>
      <c r="B25" s="396" t="s">
        <v>318</v>
      </c>
      <c r="C25" s="385"/>
      <c r="D25" s="385"/>
      <c r="E25" s="368"/>
    </row>
    <row r="26" spans="1:5" s="541" customFormat="1" ht="12" customHeight="1">
      <c r="A26" s="525" t="s">
        <v>63</v>
      </c>
      <c r="B26" s="396" t="s">
        <v>319</v>
      </c>
      <c r="C26" s="385"/>
      <c r="D26" s="385"/>
      <c r="E26" s="368"/>
    </row>
    <row r="27" spans="1:5" s="541" customFormat="1" ht="12" customHeight="1">
      <c r="A27" s="525" t="s">
        <v>121</v>
      </c>
      <c r="B27" s="396" t="s">
        <v>320</v>
      </c>
      <c r="C27" s="385"/>
      <c r="D27" s="385"/>
      <c r="E27" s="368"/>
    </row>
    <row r="28" spans="1:5" s="541" customFormat="1" ht="12" customHeight="1" thickBot="1">
      <c r="A28" s="526" t="s">
        <v>122</v>
      </c>
      <c r="B28" s="397" t="s">
        <v>321</v>
      </c>
      <c r="C28" s="387"/>
      <c r="D28" s="387"/>
      <c r="E28" s="370"/>
    </row>
    <row r="29" spans="1:5" s="541" customFormat="1" ht="12" customHeight="1" thickBot="1">
      <c r="A29" s="357" t="s">
        <v>123</v>
      </c>
      <c r="B29" s="353" t="s">
        <v>718</v>
      </c>
      <c r="C29" s="390">
        <f>SUM(C30:C35)</f>
        <v>0</v>
      </c>
      <c r="D29" s="390">
        <f>SUM(D30:D35)</f>
        <v>0</v>
      </c>
      <c r="E29" s="403">
        <f>SUM(E30:E35)</f>
        <v>0</v>
      </c>
    </row>
    <row r="30" spans="1:5" s="541" customFormat="1" ht="12" customHeight="1">
      <c r="A30" s="524" t="s">
        <v>322</v>
      </c>
      <c r="B30" s="395" t="s">
        <v>722</v>
      </c>
      <c r="C30" s="386"/>
      <c r="D30" s="386">
        <f>+D31+D32</f>
        <v>0</v>
      </c>
      <c r="E30" s="369">
        <f>+E31+E32</f>
        <v>0</v>
      </c>
    </row>
    <row r="31" spans="1:5" s="541" customFormat="1" ht="12" customHeight="1">
      <c r="A31" s="525" t="s">
        <v>323</v>
      </c>
      <c r="B31" s="396" t="s">
        <v>723</v>
      </c>
      <c r="C31" s="385"/>
      <c r="D31" s="385"/>
      <c r="E31" s="368"/>
    </row>
    <row r="32" spans="1:5" s="541" customFormat="1" ht="12" customHeight="1">
      <c r="A32" s="525" t="s">
        <v>324</v>
      </c>
      <c r="B32" s="396" t="s">
        <v>724</v>
      </c>
      <c r="C32" s="385"/>
      <c r="D32" s="385"/>
      <c r="E32" s="368"/>
    </row>
    <row r="33" spans="1:5" s="541" customFormat="1" ht="12" customHeight="1">
      <c r="A33" s="525" t="s">
        <v>719</v>
      </c>
      <c r="B33" s="396" t="s">
        <v>725</v>
      </c>
      <c r="C33" s="385"/>
      <c r="D33" s="385"/>
      <c r="E33" s="368"/>
    </row>
    <row r="34" spans="1:5" s="541" customFormat="1" ht="12" customHeight="1">
      <c r="A34" s="525" t="s">
        <v>720</v>
      </c>
      <c r="B34" s="396" t="s">
        <v>325</v>
      </c>
      <c r="C34" s="385"/>
      <c r="D34" s="385"/>
      <c r="E34" s="368"/>
    </row>
    <row r="35" spans="1:5" s="541" customFormat="1" ht="12" customHeight="1" thickBot="1">
      <c r="A35" s="526" t="s">
        <v>721</v>
      </c>
      <c r="B35" s="376" t="s">
        <v>326</v>
      </c>
      <c r="C35" s="387"/>
      <c r="D35" s="387"/>
      <c r="E35" s="370"/>
    </row>
    <row r="36" spans="1:5" s="541" customFormat="1" ht="12" customHeight="1" thickBot="1">
      <c r="A36" s="357" t="s">
        <v>11</v>
      </c>
      <c r="B36" s="353" t="s">
        <v>327</v>
      </c>
      <c r="C36" s="384">
        <f>SUM(C37:C46)</f>
        <v>0</v>
      </c>
      <c r="D36" s="384">
        <f>SUM(D37:D46)</f>
        <v>0</v>
      </c>
      <c r="E36" s="367">
        <f>SUM(E37:E46)</f>
        <v>0</v>
      </c>
    </row>
    <row r="37" spans="1:5" s="541" customFormat="1" ht="12" customHeight="1">
      <c r="A37" s="524" t="s">
        <v>64</v>
      </c>
      <c r="B37" s="395" t="s">
        <v>328</v>
      </c>
      <c r="C37" s="386"/>
      <c r="D37" s="386"/>
      <c r="E37" s="369"/>
    </row>
    <row r="38" spans="1:5" s="541" customFormat="1" ht="12" customHeight="1">
      <c r="A38" s="525" t="s">
        <v>65</v>
      </c>
      <c r="B38" s="396" t="s">
        <v>329</v>
      </c>
      <c r="C38" s="385"/>
      <c r="D38" s="385"/>
      <c r="E38" s="368"/>
    </row>
    <row r="39" spans="1:5" s="541" customFormat="1" ht="12" customHeight="1">
      <c r="A39" s="525" t="s">
        <v>66</v>
      </c>
      <c r="B39" s="396" t="s">
        <v>330</v>
      </c>
      <c r="C39" s="385"/>
      <c r="D39" s="385"/>
      <c r="E39" s="368"/>
    </row>
    <row r="40" spans="1:5" s="541" customFormat="1" ht="12" customHeight="1">
      <c r="A40" s="525" t="s">
        <v>125</v>
      </c>
      <c r="B40" s="396" t="s">
        <v>331</v>
      </c>
      <c r="C40" s="385"/>
      <c r="D40" s="385"/>
      <c r="E40" s="368"/>
    </row>
    <row r="41" spans="1:5" s="541" customFormat="1" ht="12" customHeight="1">
      <c r="A41" s="525" t="s">
        <v>126</v>
      </c>
      <c r="B41" s="396" t="s">
        <v>332</v>
      </c>
      <c r="C41" s="385"/>
      <c r="D41" s="385"/>
      <c r="E41" s="368"/>
    </row>
    <row r="42" spans="1:5" s="541" customFormat="1" ht="12" customHeight="1">
      <c r="A42" s="525" t="s">
        <v>127</v>
      </c>
      <c r="B42" s="396" t="s">
        <v>333</v>
      </c>
      <c r="C42" s="385"/>
      <c r="D42" s="385"/>
      <c r="E42" s="368"/>
    </row>
    <row r="43" spans="1:5" s="541" customFormat="1" ht="12" customHeight="1">
      <c r="A43" s="525" t="s">
        <v>128</v>
      </c>
      <c r="B43" s="396" t="s">
        <v>334</v>
      </c>
      <c r="C43" s="385"/>
      <c r="D43" s="385"/>
      <c r="E43" s="368"/>
    </row>
    <row r="44" spans="1:5" s="541" customFormat="1" ht="12" customHeight="1">
      <c r="A44" s="525" t="s">
        <v>129</v>
      </c>
      <c r="B44" s="396" t="s">
        <v>335</v>
      </c>
      <c r="C44" s="385"/>
      <c r="D44" s="385"/>
      <c r="E44" s="368"/>
    </row>
    <row r="45" spans="1:5" s="541" customFormat="1" ht="12" customHeight="1">
      <c r="A45" s="525" t="s">
        <v>336</v>
      </c>
      <c r="B45" s="396" t="s">
        <v>337</v>
      </c>
      <c r="C45" s="388"/>
      <c r="D45" s="388"/>
      <c r="E45" s="371"/>
    </row>
    <row r="46" spans="1:5" s="514" customFormat="1" ht="12" customHeight="1" thickBot="1">
      <c r="A46" s="526" t="s">
        <v>338</v>
      </c>
      <c r="B46" s="397" t="s">
        <v>339</v>
      </c>
      <c r="C46" s="389"/>
      <c r="D46" s="389"/>
      <c r="E46" s="372"/>
    </row>
    <row r="47" spans="1:5" s="541" customFormat="1" ht="12" customHeight="1" thickBot="1">
      <c r="A47" s="357" t="s">
        <v>12</v>
      </c>
      <c r="B47" s="353" t="s">
        <v>340</v>
      </c>
      <c r="C47" s="384">
        <f>SUM(C48:C52)</f>
        <v>0</v>
      </c>
      <c r="D47" s="384">
        <f>SUM(D48:D52)</f>
        <v>0</v>
      </c>
      <c r="E47" s="367">
        <f>SUM(E48:E52)</f>
        <v>0</v>
      </c>
    </row>
    <row r="48" spans="1:5" s="541" customFormat="1" ht="12" customHeight="1">
      <c r="A48" s="524" t="s">
        <v>67</v>
      </c>
      <c r="B48" s="395" t="s">
        <v>341</v>
      </c>
      <c r="C48" s="405"/>
      <c r="D48" s="405"/>
      <c r="E48" s="373"/>
    </row>
    <row r="49" spans="1:5" s="541" customFormat="1" ht="12" customHeight="1">
      <c r="A49" s="525" t="s">
        <v>68</v>
      </c>
      <c r="B49" s="396" t="s">
        <v>342</v>
      </c>
      <c r="C49" s="388"/>
      <c r="D49" s="388"/>
      <c r="E49" s="371"/>
    </row>
    <row r="50" spans="1:5" s="541" customFormat="1" ht="12" customHeight="1">
      <c r="A50" s="525" t="s">
        <v>343</v>
      </c>
      <c r="B50" s="396" t="s">
        <v>344</v>
      </c>
      <c r="C50" s="388"/>
      <c r="D50" s="388"/>
      <c r="E50" s="371"/>
    </row>
    <row r="51" spans="1:5" s="541" customFormat="1" ht="12" customHeight="1">
      <c r="A51" s="525" t="s">
        <v>345</v>
      </c>
      <c r="B51" s="396" t="s">
        <v>346</v>
      </c>
      <c r="C51" s="388"/>
      <c r="D51" s="388"/>
      <c r="E51" s="371"/>
    </row>
    <row r="52" spans="1:5" s="541" customFormat="1" ht="12" customHeight="1" thickBot="1">
      <c r="A52" s="526" t="s">
        <v>347</v>
      </c>
      <c r="B52" s="397" t="s">
        <v>348</v>
      </c>
      <c r="C52" s="389"/>
      <c r="D52" s="389"/>
      <c r="E52" s="372"/>
    </row>
    <row r="53" spans="1:5" s="541" customFormat="1" ht="12" customHeight="1" thickBot="1">
      <c r="A53" s="357" t="s">
        <v>130</v>
      </c>
      <c r="B53" s="353" t="s">
        <v>349</v>
      </c>
      <c r="C53" s="384">
        <f>SUM(C54:C56)</f>
        <v>0</v>
      </c>
      <c r="D53" s="384">
        <f>SUM(D54:D56)</f>
        <v>0</v>
      </c>
      <c r="E53" s="367">
        <f>SUM(E54:E56)</f>
        <v>0</v>
      </c>
    </row>
    <row r="54" spans="1:5" s="514" customFormat="1" ht="12" customHeight="1">
      <c r="A54" s="524" t="s">
        <v>69</v>
      </c>
      <c r="B54" s="395" t="s">
        <v>350</v>
      </c>
      <c r="C54" s="386"/>
      <c r="D54" s="386"/>
      <c r="E54" s="369"/>
    </row>
    <row r="55" spans="1:5" s="514" customFormat="1" ht="12" customHeight="1">
      <c r="A55" s="525" t="s">
        <v>70</v>
      </c>
      <c r="B55" s="396" t="s">
        <v>351</v>
      </c>
      <c r="C55" s="385"/>
      <c r="D55" s="385"/>
      <c r="E55" s="368"/>
    </row>
    <row r="56" spans="1:5" s="514" customFormat="1" ht="12" customHeight="1">
      <c r="A56" s="525" t="s">
        <v>352</v>
      </c>
      <c r="B56" s="396" t="s">
        <v>353</v>
      </c>
      <c r="C56" s="385"/>
      <c r="D56" s="385"/>
      <c r="E56" s="368"/>
    </row>
    <row r="57" spans="1:5" s="514" customFormat="1" ht="12" customHeight="1" thickBot="1">
      <c r="A57" s="526" t="s">
        <v>354</v>
      </c>
      <c r="B57" s="397" t="s">
        <v>355</v>
      </c>
      <c r="C57" s="387"/>
      <c r="D57" s="387"/>
      <c r="E57" s="370"/>
    </row>
    <row r="58" spans="1:5" s="541" customFormat="1" ht="12" customHeight="1" thickBot="1">
      <c r="A58" s="357" t="s">
        <v>14</v>
      </c>
      <c r="B58" s="374" t="s">
        <v>356</v>
      </c>
      <c r="C58" s="384">
        <f>SUM(C59:C61)</f>
        <v>0</v>
      </c>
      <c r="D58" s="384">
        <f>SUM(D59:D61)</f>
        <v>0</v>
      </c>
      <c r="E58" s="367">
        <f>SUM(E59:E61)</f>
        <v>0</v>
      </c>
    </row>
    <row r="59" spans="1:5" s="541" customFormat="1" ht="12" customHeight="1">
      <c r="A59" s="524" t="s">
        <v>131</v>
      </c>
      <c r="B59" s="395" t="s">
        <v>357</v>
      </c>
      <c r="C59" s="388"/>
      <c r="D59" s="388"/>
      <c r="E59" s="371"/>
    </row>
    <row r="60" spans="1:5" s="541" customFormat="1" ht="12" customHeight="1">
      <c r="A60" s="525" t="s">
        <v>132</v>
      </c>
      <c r="B60" s="396" t="s">
        <v>545</v>
      </c>
      <c r="C60" s="388"/>
      <c r="D60" s="388"/>
      <c r="E60" s="371"/>
    </row>
    <row r="61" spans="1:5" s="541" customFormat="1" ht="12" customHeight="1">
      <c r="A61" s="525" t="s">
        <v>157</v>
      </c>
      <c r="B61" s="396" t="s">
        <v>359</v>
      </c>
      <c r="C61" s="388"/>
      <c r="D61" s="388"/>
      <c r="E61" s="371"/>
    </row>
    <row r="62" spans="1:5" s="541" customFormat="1" ht="12" customHeight="1" thickBot="1">
      <c r="A62" s="526" t="s">
        <v>360</v>
      </c>
      <c r="B62" s="397" t="s">
        <v>361</v>
      </c>
      <c r="C62" s="388"/>
      <c r="D62" s="388"/>
      <c r="E62" s="371"/>
    </row>
    <row r="63" spans="1:5" s="541" customFormat="1" ht="12" customHeight="1" thickBot="1">
      <c r="A63" s="357" t="s">
        <v>15</v>
      </c>
      <c r="B63" s="353" t="s">
        <v>362</v>
      </c>
      <c r="C63" s="390">
        <f>+C8+C15+C22+C29+C36+C47+C53+C58</f>
        <v>0</v>
      </c>
      <c r="D63" s="390">
        <f>+D8+D15+D22+D29+D36+D47+D53+D58</f>
        <v>0</v>
      </c>
      <c r="E63" s="403">
        <f>+E8+E15+E22+E29+E36+E47+E53+E58</f>
        <v>0</v>
      </c>
    </row>
    <row r="64" spans="1:5" s="541" customFormat="1" ht="12" customHeight="1" thickBot="1">
      <c r="A64" s="527" t="s">
        <v>543</v>
      </c>
      <c r="B64" s="374" t="s">
        <v>364</v>
      </c>
      <c r="C64" s="384">
        <f>SUM(C65:C67)</f>
        <v>0</v>
      </c>
      <c r="D64" s="384">
        <f>SUM(D65:D67)</f>
        <v>0</v>
      </c>
      <c r="E64" s="367">
        <f>SUM(E65:E67)</f>
        <v>0</v>
      </c>
    </row>
    <row r="65" spans="1:5" s="541" customFormat="1" ht="12" customHeight="1">
      <c r="A65" s="524" t="s">
        <v>365</v>
      </c>
      <c r="B65" s="395" t="s">
        <v>366</v>
      </c>
      <c r="C65" s="388"/>
      <c r="D65" s="388"/>
      <c r="E65" s="371"/>
    </row>
    <row r="66" spans="1:5" s="541" customFormat="1" ht="12" customHeight="1">
      <c r="A66" s="525" t="s">
        <v>367</v>
      </c>
      <c r="B66" s="396" t="s">
        <v>368</v>
      </c>
      <c r="C66" s="388"/>
      <c r="D66" s="388"/>
      <c r="E66" s="371"/>
    </row>
    <row r="67" spans="1:5" s="541" customFormat="1" ht="12" customHeight="1" thickBot="1">
      <c r="A67" s="526" t="s">
        <v>369</v>
      </c>
      <c r="B67" s="520" t="s">
        <v>370</v>
      </c>
      <c r="C67" s="388"/>
      <c r="D67" s="388"/>
      <c r="E67" s="371"/>
    </row>
    <row r="68" spans="1:5" s="541" customFormat="1" ht="12" customHeight="1" thickBot="1">
      <c r="A68" s="527" t="s">
        <v>371</v>
      </c>
      <c r="B68" s="374" t="s">
        <v>372</v>
      </c>
      <c r="C68" s="384">
        <f>SUM(C69:C72)</f>
        <v>0</v>
      </c>
      <c r="D68" s="384">
        <f>SUM(D69:D72)</f>
        <v>0</v>
      </c>
      <c r="E68" s="367">
        <f>SUM(E69:E72)</f>
        <v>0</v>
      </c>
    </row>
    <row r="69" spans="1:5" s="541" customFormat="1" ht="12" customHeight="1">
      <c r="A69" s="524" t="s">
        <v>108</v>
      </c>
      <c r="B69" s="395" t="s">
        <v>373</v>
      </c>
      <c r="C69" s="388"/>
      <c r="D69" s="388"/>
      <c r="E69" s="371"/>
    </row>
    <row r="70" spans="1:5" s="541" customFormat="1" ht="12" customHeight="1">
      <c r="A70" s="525" t="s">
        <v>109</v>
      </c>
      <c r="B70" s="396" t="s">
        <v>374</v>
      </c>
      <c r="C70" s="388"/>
      <c r="D70" s="388"/>
      <c r="E70" s="371"/>
    </row>
    <row r="71" spans="1:5" s="541" customFormat="1" ht="12" customHeight="1">
      <c r="A71" s="525" t="s">
        <v>375</v>
      </c>
      <c r="B71" s="396" t="s">
        <v>376</v>
      </c>
      <c r="C71" s="388"/>
      <c r="D71" s="388"/>
      <c r="E71" s="371"/>
    </row>
    <row r="72" spans="1:5" s="541" customFormat="1" ht="12" customHeight="1" thickBot="1">
      <c r="A72" s="526" t="s">
        <v>377</v>
      </c>
      <c r="B72" s="397" t="s">
        <v>378</v>
      </c>
      <c r="C72" s="388"/>
      <c r="D72" s="388"/>
      <c r="E72" s="371"/>
    </row>
    <row r="73" spans="1:5" s="541" customFormat="1" ht="12" customHeight="1" thickBot="1">
      <c r="A73" s="527" t="s">
        <v>379</v>
      </c>
      <c r="B73" s="374" t="s">
        <v>380</v>
      </c>
      <c r="C73" s="384">
        <f>SUM(C74:C75)</f>
        <v>0</v>
      </c>
      <c r="D73" s="384">
        <f>SUM(D74:D75)</f>
        <v>0</v>
      </c>
      <c r="E73" s="367">
        <f>SUM(E74:E75)</f>
        <v>0</v>
      </c>
    </row>
    <row r="74" spans="1:5" s="541" customFormat="1" ht="12" customHeight="1">
      <c r="A74" s="524" t="s">
        <v>381</v>
      </c>
      <c r="B74" s="395" t="s">
        <v>382</v>
      </c>
      <c r="C74" s="388"/>
      <c r="D74" s="388"/>
      <c r="E74" s="371"/>
    </row>
    <row r="75" spans="1:5" s="541" customFormat="1" ht="12" customHeight="1" thickBot="1">
      <c r="A75" s="526" t="s">
        <v>383</v>
      </c>
      <c r="B75" s="397" t="s">
        <v>384</v>
      </c>
      <c r="C75" s="388"/>
      <c r="D75" s="388"/>
      <c r="E75" s="371"/>
    </row>
    <row r="76" spans="1:5" s="541" customFormat="1" ht="12" customHeight="1" thickBot="1">
      <c r="A76" s="527" t="s">
        <v>385</v>
      </c>
      <c r="B76" s="374" t="s">
        <v>386</v>
      </c>
      <c r="C76" s="384">
        <f>SUM(C77:C79)</f>
        <v>0</v>
      </c>
      <c r="D76" s="384">
        <f>SUM(D77:D79)</f>
        <v>0</v>
      </c>
      <c r="E76" s="367">
        <f>SUM(E77:E79)</f>
        <v>0</v>
      </c>
    </row>
    <row r="77" spans="1:5" s="541" customFormat="1" ht="12" customHeight="1">
      <c r="A77" s="524" t="s">
        <v>387</v>
      </c>
      <c r="B77" s="395" t="s">
        <v>388</v>
      </c>
      <c r="C77" s="388"/>
      <c r="D77" s="388"/>
      <c r="E77" s="371"/>
    </row>
    <row r="78" spans="1:5" s="541" customFormat="1" ht="12" customHeight="1">
      <c r="A78" s="525" t="s">
        <v>389</v>
      </c>
      <c r="B78" s="396" t="s">
        <v>390</v>
      </c>
      <c r="C78" s="388"/>
      <c r="D78" s="388"/>
      <c r="E78" s="371"/>
    </row>
    <row r="79" spans="1:5" s="541" customFormat="1" ht="12" customHeight="1" thickBot="1">
      <c r="A79" s="526" t="s">
        <v>391</v>
      </c>
      <c r="B79" s="397" t="s">
        <v>392</v>
      </c>
      <c r="C79" s="388"/>
      <c r="D79" s="388"/>
      <c r="E79" s="371"/>
    </row>
    <row r="80" spans="1:5" s="541" customFormat="1" ht="12" customHeight="1" thickBot="1">
      <c r="A80" s="527" t="s">
        <v>393</v>
      </c>
      <c r="B80" s="374" t="s">
        <v>394</v>
      </c>
      <c r="C80" s="384">
        <f>SUM(C81:C84)</f>
        <v>0</v>
      </c>
      <c r="D80" s="384">
        <f>SUM(D81:D84)</f>
        <v>0</v>
      </c>
      <c r="E80" s="367">
        <f>SUM(E81:E84)</f>
        <v>0</v>
      </c>
    </row>
    <row r="81" spans="1:5" s="541" customFormat="1" ht="12" customHeight="1">
      <c r="A81" s="528" t="s">
        <v>395</v>
      </c>
      <c r="B81" s="395" t="s">
        <v>396</v>
      </c>
      <c r="C81" s="388"/>
      <c r="D81" s="388"/>
      <c r="E81" s="371"/>
    </row>
    <row r="82" spans="1:5" s="541" customFormat="1" ht="12" customHeight="1">
      <c r="A82" s="529" t="s">
        <v>397</v>
      </c>
      <c r="B82" s="396" t="s">
        <v>398</v>
      </c>
      <c r="C82" s="388"/>
      <c r="D82" s="388"/>
      <c r="E82" s="371"/>
    </row>
    <row r="83" spans="1:5" s="541" customFormat="1" ht="12" customHeight="1">
      <c r="A83" s="529" t="s">
        <v>399</v>
      </c>
      <c r="B83" s="396" t="s">
        <v>400</v>
      </c>
      <c r="C83" s="388"/>
      <c r="D83" s="388"/>
      <c r="E83" s="371"/>
    </row>
    <row r="84" spans="1:5" s="541" customFormat="1" ht="12" customHeight="1" thickBot="1">
      <c r="A84" s="530" t="s">
        <v>401</v>
      </c>
      <c r="B84" s="397" t="s">
        <v>402</v>
      </c>
      <c r="C84" s="388"/>
      <c r="D84" s="388"/>
      <c r="E84" s="371"/>
    </row>
    <row r="85" spans="1:5" s="541" customFormat="1" ht="12" customHeight="1" thickBot="1">
      <c r="A85" s="527" t="s">
        <v>403</v>
      </c>
      <c r="B85" s="374" t="s">
        <v>404</v>
      </c>
      <c r="C85" s="409"/>
      <c r="D85" s="409"/>
      <c r="E85" s="410"/>
    </row>
    <row r="86" spans="1:5" s="541" customFormat="1" ht="12" customHeight="1" thickBot="1">
      <c r="A86" s="527" t="s">
        <v>405</v>
      </c>
      <c r="B86" s="521" t="s">
        <v>406</v>
      </c>
      <c r="C86" s="390">
        <f>+C64+C68+C73+C76+C80+C85</f>
        <v>0</v>
      </c>
      <c r="D86" s="390">
        <f>+D64+D68+D73+D76+D80+D85</f>
        <v>0</v>
      </c>
      <c r="E86" s="403">
        <f>+E64+E68+E73+E76+E80+E85</f>
        <v>0</v>
      </c>
    </row>
    <row r="87" spans="1:5" s="541" customFormat="1" ht="12" customHeight="1" thickBot="1">
      <c r="A87" s="531" t="s">
        <v>407</v>
      </c>
      <c r="B87" s="522" t="s">
        <v>544</v>
      </c>
      <c r="C87" s="390">
        <f>+C63+C86</f>
        <v>0</v>
      </c>
      <c r="D87" s="390">
        <f>+D63+D86</f>
        <v>0</v>
      </c>
      <c r="E87" s="403">
        <f>+E63+E86</f>
        <v>0</v>
      </c>
    </row>
    <row r="88" spans="1:5" s="541" customFormat="1" ht="15" customHeight="1">
      <c r="A88" s="496"/>
      <c r="B88" s="497"/>
      <c r="C88" s="512"/>
      <c r="D88" s="512"/>
      <c r="E88" s="512"/>
    </row>
    <row r="89" spans="1:5" ht="13.5" thickBot="1">
      <c r="A89" s="498"/>
      <c r="B89" s="499"/>
      <c r="C89" s="513"/>
      <c r="D89" s="513"/>
      <c r="E89" s="513"/>
    </row>
    <row r="90" spans="1:5" s="540" customFormat="1" ht="16.5" customHeight="1" thickBot="1">
      <c r="A90" s="863" t="s">
        <v>43</v>
      </c>
      <c r="B90" s="864"/>
      <c r="C90" s="864"/>
      <c r="D90" s="864"/>
      <c r="E90" s="865"/>
    </row>
    <row r="91" spans="1:5" s="315" customFormat="1" ht="12" customHeight="1" thickBot="1">
      <c r="A91" s="519" t="s">
        <v>7</v>
      </c>
      <c r="B91" s="356" t="s">
        <v>415</v>
      </c>
      <c r="C91" s="383">
        <f>SUM(C92:C96)</f>
        <v>0</v>
      </c>
      <c r="D91" s="383">
        <f>SUM(D92:D96)</f>
        <v>0</v>
      </c>
      <c r="E91" s="338">
        <f>SUM(E92:E96)</f>
        <v>0</v>
      </c>
    </row>
    <row r="92" spans="1:5" ht="12" customHeight="1">
      <c r="A92" s="532" t="s">
        <v>71</v>
      </c>
      <c r="B92" s="342" t="s">
        <v>37</v>
      </c>
      <c r="C92" s="98"/>
      <c r="D92" s="98"/>
      <c r="E92" s="337"/>
    </row>
    <row r="93" spans="1:5" ht="12" customHeight="1">
      <c r="A93" s="525" t="s">
        <v>72</v>
      </c>
      <c r="B93" s="340" t="s">
        <v>133</v>
      </c>
      <c r="C93" s="385"/>
      <c r="D93" s="385"/>
      <c r="E93" s="368"/>
    </row>
    <row r="94" spans="1:5" ht="12" customHeight="1">
      <c r="A94" s="525" t="s">
        <v>73</v>
      </c>
      <c r="B94" s="340" t="s">
        <v>100</v>
      </c>
      <c r="C94" s="387"/>
      <c r="D94" s="387"/>
      <c r="E94" s="370"/>
    </row>
    <row r="95" spans="1:5" ht="12" customHeight="1">
      <c r="A95" s="525" t="s">
        <v>74</v>
      </c>
      <c r="B95" s="343" t="s">
        <v>134</v>
      </c>
      <c r="C95" s="387"/>
      <c r="D95" s="387"/>
      <c r="E95" s="370"/>
    </row>
    <row r="96" spans="1:5" ht="12" customHeight="1">
      <c r="A96" s="525" t="s">
        <v>83</v>
      </c>
      <c r="B96" s="351" t="s">
        <v>135</v>
      </c>
      <c r="C96" s="387"/>
      <c r="D96" s="387"/>
      <c r="E96" s="370"/>
    </row>
    <row r="97" spans="1:5" ht="12" customHeight="1">
      <c r="A97" s="525" t="s">
        <v>75</v>
      </c>
      <c r="B97" s="340" t="s">
        <v>416</v>
      </c>
      <c r="C97" s="387"/>
      <c r="D97" s="387"/>
      <c r="E97" s="370"/>
    </row>
    <row r="98" spans="1:5" ht="12" customHeight="1">
      <c r="A98" s="525" t="s">
        <v>76</v>
      </c>
      <c r="B98" s="363" t="s">
        <v>417</v>
      </c>
      <c r="C98" s="387"/>
      <c r="D98" s="387"/>
      <c r="E98" s="370"/>
    </row>
    <row r="99" spans="1:5" ht="12" customHeight="1">
      <c r="A99" s="525" t="s">
        <v>84</v>
      </c>
      <c r="B99" s="364" t="s">
        <v>418</v>
      </c>
      <c r="C99" s="387"/>
      <c r="D99" s="387"/>
      <c r="E99" s="370"/>
    </row>
    <row r="100" spans="1:5" ht="12" customHeight="1">
      <c r="A100" s="525" t="s">
        <v>85</v>
      </c>
      <c r="B100" s="364" t="s">
        <v>419</v>
      </c>
      <c r="C100" s="387"/>
      <c r="D100" s="387"/>
      <c r="E100" s="370"/>
    </row>
    <row r="101" spans="1:5" ht="12" customHeight="1">
      <c r="A101" s="525" t="s">
        <v>86</v>
      </c>
      <c r="B101" s="363" t="s">
        <v>420</v>
      </c>
      <c r="C101" s="387"/>
      <c r="D101" s="387"/>
      <c r="E101" s="370"/>
    </row>
    <row r="102" spans="1:5" ht="12" customHeight="1">
      <c r="A102" s="525" t="s">
        <v>87</v>
      </c>
      <c r="B102" s="363" t="s">
        <v>421</v>
      </c>
      <c r="C102" s="387"/>
      <c r="D102" s="387"/>
      <c r="E102" s="370"/>
    </row>
    <row r="103" spans="1:5" ht="12" customHeight="1">
      <c r="A103" s="525" t="s">
        <v>89</v>
      </c>
      <c r="B103" s="364" t="s">
        <v>422</v>
      </c>
      <c r="C103" s="387"/>
      <c r="D103" s="387"/>
      <c r="E103" s="370"/>
    </row>
    <row r="104" spans="1:5" ht="12" customHeight="1">
      <c r="A104" s="533" t="s">
        <v>136</v>
      </c>
      <c r="B104" s="365" t="s">
        <v>423</v>
      </c>
      <c r="C104" s="387"/>
      <c r="D104" s="387"/>
      <c r="E104" s="370"/>
    </row>
    <row r="105" spans="1:5" ht="12" customHeight="1">
      <c r="A105" s="525" t="s">
        <v>424</v>
      </c>
      <c r="B105" s="365" t="s">
        <v>425</v>
      </c>
      <c r="C105" s="387"/>
      <c r="D105" s="387"/>
      <c r="E105" s="370"/>
    </row>
    <row r="106" spans="1:5" s="315" customFormat="1" ht="12" customHeight="1" thickBot="1">
      <c r="A106" s="534" t="s">
        <v>426</v>
      </c>
      <c r="B106" s="366" t="s">
        <v>427</v>
      </c>
      <c r="C106" s="99"/>
      <c r="D106" s="99"/>
      <c r="E106" s="331"/>
    </row>
    <row r="107" spans="1:5" ht="12" customHeight="1" thickBot="1">
      <c r="A107" s="357" t="s">
        <v>8</v>
      </c>
      <c r="B107" s="355" t="s">
        <v>428</v>
      </c>
      <c r="C107" s="384">
        <f>+C108+C110+C112</f>
        <v>0</v>
      </c>
      <c r="D107" s="384">
        <f>+D108+D110+D112</f>
        <v>0</v>
      </c>
      <c r="E107" s="367">
        <f>+E108+E110+E112</f>
        <v>0</v>
      </c>
    </row>
    <row r="108" spans="1:5" ht="12" customHeight="1">
      <c r="A108" s="524" t="s">
        <v>77</v>
      </c>
      <c r="B108" s="340" t="s">
        <v>155</v>
      </c>
      <c r="C108" s="386"/>
      <c r="D108" s="386"/>
      <c r="E108" s="369"/>
    </row>
    <row r="109" spans="1:5" ht="12" customHeight="1">
      <c r="A109" s="524" t="s">
        <v>78</v>
      </c>
      <c r="B109" s="344" t="s">
        <v>429</v>
      </c>
      <c r="C109" s="386"/>
      <c r="D109" s="386"/>
      <c r="E109" s="369"/>
    </row>
    <row r="110" spans="1:5" ht="12" customHeight="1">
      <c r="A110" s="524" t="s">
        <v>79</v>
      </c>
      <c r="B110" s="344" t="s">
        <v>137</v>
      </c>
      <c r="C110" s="385"/>
      <c r="D110" s="385"/>
      <c r="E110" s="368"/>
    </row>
    <row r="111" spans="1:5" ht="12" customHeight="1">
      <c r="A111" s="524" t="s">
        <v>80</v>
      </c>
      <c r="B111" s="344" t="s">
        <v>430</v>
      </c>
      <c r="C111" s="385"/>
      <c r="D111" s="385"/>
      <c r="E111" s="368"/>
    </row>
    <row r="112" spans="1:5" ht="12" customHeight="1">
      <c r="A112" s="524" t="s">
        <v>81</v>
      </c>
      <c r="B112" s="376" t="s">
        <v>158</v>
      </c>
      <c r="C112" s="385"/>
      <c r="D112" s="385"/>
      <c r="E112" s="368"/>
    </row>
    <row r="113" spans="1:5" ht="12" customHeight="1">
      <c r="A113" s="524" t="s">
        <v>88</v>
      </c>
      <c r="B113" s="375" t="s">
        <v>431</v>
      </c>
      <c r="C113" s="385"/>
      <c r="D113" s="385"/>
      <c r="E113" s="368"/>
    </row>
    <row r="114" spans="1:5" ht="12" customHeight="1">
      <c r="A114" s="524" t="s">
        <v>90</v>
      </c>
      <c r="B114" s="391" t="s">
        <v>432</v>
      </c>
      <c r="C114" s="385"/>
      <c r="D114" s="385"/>
      <c r="E114" s="368"/>
    </row>
    <row r="115" spans="1:5" ht="12" customHeight="1">
      <c r="A115" s="524" t="s">
        <v>138</v>
      </c>
      <c r="B115" s="364" t="s">
        <v>419</v>
      </c>
      <c r="C115" s="385"/>
      <c r="D115" s="385"/>
      <c r="E115" s="368"/>
    </row>
    <row r="116" spans="1:5" ht="12" customHeight="1">
      <c r="A116" s="524" t="s">
        <v>139</v>
      </c>
      <c r="B116" s="364" t="s">
        <v>433</v>
      </c>
      <c r="C116" s="385"/>
      <c r="D116" s="385"/>
      <c r="E116" s="368"/>
    </row>
    <row r="117" spans="1:5" ht="12" customHeight="1">
      <c r="A117" s="524" t="s">
        <v>140</v>
      </c>
      <c r="B117" s="364" t="s">
        <v>434</v>
      </c>
      <c r="C117" s="385"/>
      <c r="D117" s="385"/>
      <c r="E117" s="368"/>
    </row>
    <row r="118" spans="1:5" ht="12" customHeight="1">
      <c r="A118" s="524" t="s">
        <v>435</v>
      </c>
      <c r="B118" s="364" t="s">
        <v>422</v>
      </c>
      <c r="C118" s="385"/>
      <c r="D118" s="385"/>
      <c r="E118" s="368"/>
    </row>
    <row r="119" spans="1:5" ht="12" customHeight="1">
      <c r="A119" s="524" t="s">
        <v>436</v>
      </c>
      <c r="B119" s="364" t="s">
        <v>437</v>
      </c>
      <c r="C119" s="385"/>
      <c r="D119" s="385"/>
      <c r="E119" s="368"/>
    </row>
    <row r="120" spans="1:5" ht="12" customHeight="1" thickBot="1">
      <c r="A120" s="533" t="s">
        <v>438</v>
      </c>
      <c r="B120" s="364" t="s">
        <v>439</v>
      </c>
      <c r="C120" s="387"/>
      <c r="D120" s="387"/>
      <c r="E120" s="370"/>
    </row>
    <row r="121" spans="1:5" ht="12" customHeight="1" thickBot="1">
      <c r="A121" s="357" t="s">
        <v>9</v>
      </c>
      <c r="B121" s="360" t="s">
        <v>440</v>
      </c>
      <c r="C121" s="384">
        <f>+C122+C123</f>
        <v>0</v>
      </c>
      <c r="D121" s="384">
        <f>+D122+D123</f>
        <v>0</v>
      </c>
      <c r="E121" s="367">
        <f>+E122+E123</f>
        <v>0</v>
      </c>
    </row>
    <row r="122" spans="1:5" ht="12" customHeight="1">
      <c r="A122" s="524" t="s">
        <v>60</v>
      </c>
      <c r="B122" s="341" t="s">
        <v>45</v>
      </c>
      <c r="C122" s="386"/>
      <c r="D122" s="386"/>
      <c r="E122" s="369"/>
    </row>
    <row r="123" spans="1:5" ht="12" customHeight="1" thickBot="1">
      <c r="A123" s="526" t="s">
        <v>61</v>
      </c>
      <c r="B123" s="344" t="s">
        <v>46</v>
      </c>
      <c r="C123" s="387"/>
      <c r="D123" s="387"/>
      <c r="E123" s="370"/>
    </row>
    <row r="124" spans="1:5" ht="12" customHeight="1" thickBot="1">
      <c r="A124" s="357" t="s">
        <v>10</v>
      </c>
      <c r="B124" s="360" t="s">
        <v>441</v>
      </c>
      <c r="C124" s="384">
        <f>+C91+C107+C121</f>
        <v>0</v>
      </c>
      <c r="D124" s="384">
        <f>+D91+D107+D121</f>
        <v>0</v>
      </c>
      <c r="E124" s="367">
        <f>+E91+E107+E121</f>
        <v>0</v>
      </c>
    </row>
    <row r="125" spans="1:5" ht="12" customHeight="1" thickBot="1">
      <c r="A125" s="357" t="s">
        <v>11</v>
      </c>
      <c r="B125" s="360" t="s">
        <v>546</v>
      </c>
      <c r="C125" s="384">
        <f>+C126+C127+C128</f>
        <v>0</v>
      </c>
      <c r="D125" s="384">
        <f>+D126+D127+D128</f>
        <v>0</v>
      </c>
      <c r="E125" s="367">
        <f>+E126+E127+E128</f>
        <v>0</v>
      </c>
    </row>
    <row r="126" spans="1:5" ht="12" customHeight="1">
      <c r="A126" s="524" t="s">
        <v>64</v>
      </c>
      <c r="B126" s="341" t="s">
        <v>443</v>
      </c>
      <c r="C126" s="385"/>
      <c r="D126" s="385"/>
      <c r="E126" s="368"/>
    </row>
    <row r="127" spans="1:5" ht="12" customHeight="1">
      <c r="A127" s="524" t="s">
        <v>65</v>
      </c>
      <c r="B127" s="341" t="s">
        <v>444</v>
      </c>
      <c r="C127" s="385"/>
      <c r="D127" s="385"/>
      <c r="E127" s="368"/>
    </row>
    <row r="128" spans="1:5" ht="12" customHeight="1" thickBot="1">
      <c r="A128" s="533" t="s">
        <v>66</v>
      </c>
      <c r="B128" s="339" t="s">
        <v>445</v>
      </c>
      <c r="C128" s="385"/>
      <c r="D128" s="385"/>
      <c r="E128" s="368"/>
    </row>
    <row r="129" spans="1:11" ht="12" customHeight="1" thickBot="1">
      <c r="A129" s="357" t="s">
        <v>12</v>
      </c>
      <c r="B129" s="360" t="s">
        <v>446</v>
      </c>
      <c r="C129" s="384">
        <f>+C130+C131+C132+C133</f>
        <v>0</v>
      </c>
      <c r="D129" s="384">
        <f>+D130+D131+D132+D133</f>
        <v>0</v>
      </c>
      <c r="E129" s="367">
        <f>+E130+E131+E132+E133</f>
        <v>0</v>
      </c>
    </row>
    <row r="130" spans="1:11" ht="12" customHeight="1">
      <c r="A130" s="524" t="s">
        <v>67</v>
      </c>
      <c r="B130" s="341" t="s">
        <v>447</v>
      </c>
      <c r="C130" s="385"/>
      <c r="D130" s="385"/>
      <c r="E130" s="368"/>
    </row>
    <row r="131" spans="1:11" ht="12" customHeight="1">
      <c r="A131" s="524" t="s">
        <v>68</v>
      </c>
      <c r="B131" s="341" t="s">
        <v>448</v>
      </c>
      <c r="C131" s="385"/>
      <c r="D131" s="385"/>
      <c r="E131" s="368"/>
    </row>
    <row r="132" spans="1:11" ht="12" customHeight="1">
      <c r="A132" s="524" t="s">
        <v>343</v>
      </c>
      <c r="B132" s="341" t="s">
        <v>449</v>
      </c>
      <c r="C132" s="385"/>
      <c r="D132" s="385"/>
      <c r="E132" s="368"/>
    </row>
    <row r="133" spans="1:11" s="315" customFormat="1" ht="12" customHeight="1" thickBot="1">
      <c r="A133" s="533" t="s">
        <v>345</v>
      </c>
      <c r="B133" s="339" t="s">
        <v>450</v>
      </c>
      <c r="C133" s="385"/>
      <c r="D133" s="385"/>
      <c r="E133" s="368"/>
    </row>
    <row r="134" spans="1:11" ht="13.5" thickBot="1">
      <c r="A134" s="357" t="s">
        <v>13</v>
      </c>
      <c r="B134" s="360" t="s">
        <v>662</v>
      </c>
      <c r="C134" s="390">
        <f>+C135+C136+C138+C139+C137</f>
        <v>0</v>
      </c>
      <c r="D134" s="390">
        <f>+D135+D136+D138+D139+D137</f>
        <v>0</v>
      </c>
      <c r="E134" s="403">
        <f>+E135+E136+E138+E139+E137</f>
        <v>0</v>
      </c>
      <c r="K134" s="487"/>
    </row>
    <row r="135" spans="1:11">
      <c r="A135" s="524" t="s">
        <v>69</v>
      </c>
      <c r="B135" s="341" t="s">
        <v>452</v>
      </c>
      <c r="C135" s="385"/>
      <c r="D135" s="385"/>
      <c r="E135" s="368"/>
    </row>
    <row r="136" spans="1:11" ht="12" customHeight="1">
      <c r="A136" s="524" t="s">
        <v>70</v>
      </c>
      <c r="B136" s="341" t="s">
        <v>453</v>
      </c>
      <c r="C136" s="385"/>
      <c r="D136" s="385"/>
      <c r="E136" s="368"/>
    </row>
    <row r="137" spans="1:11" ht="12" customHeight="1">
      <c r="A137" s="524" t="s">
        <v>352</v>
      </c>
      <c r="B137" s="341" t="s">
        <v>661</v>
      </c>
      <c r="C137" s="385"/>
      <c r="D137" s="385"/>
      <c r="E137" s="368"/>
    </row>
    <row r="138" spans="1:11" s="315" customFormat="1" ht="12" customHeight="1">
      <c r="A138" s="524" t="s">
        <v>354</v>
      </c>
      <c r="B138" s="341" t="s">
        <v>454</v>
      </c>
      <c r="C138" s="385"/>
      <c r="D138" s="385"/>
      <c r="E138" s="368"/>
    </row>
    <row r="139" spans="1:11" s="315" customFormat="1" ht="12" customHeight="1" thickBot="1">
      <c r="A139" s="533" t="s">
        <v>660</v>
      </c>
      <c r="B139" s="339" t="s">
        <v>455</v>
      </c>
      <c r="C139" s="385"/>
      <c r="D139" s="385"/>
      <c r="E139" s="368"/>
    </row>
    <row r="140" spans="1:11" s="315" customFormat="1" ht="12" customHeight="1" thickBot="1">
      <c r="A140" s="357" t="s">
        <v>14</v>
      </c>
      <c r="B140" s="360" t="s">
        <v>547</v>
      </c>
      <c r="C140" s="100">
        <f>+C141+C142+C143+C144</f>
        <v>0</v>
      </c>
      <c r="D140" s="100">
        <f>+D141+D142+D143+D144</f>
        <v>0</v>
      </c>
      <c r="E140" s="336">
        <f>+E141+E142+E143+E144</f>
        <v>0</v>
      </c>
    </row>
    <row r="141" spans="1:11" s="315" customFormat="1" ht="12" customHeight="1">
      <c r="A141" s="524" t="s">
        <v>131</v>
      </c>
      <c r="B141" s="341" t="s">
        <v>457</v>
      </c>
      <c r="C141" s="385"/>
      <c r="D141" s="385"/>
      <c r="E141" s="368"/>
    </row>
    <row r="142" spans="1:11" s="315" customFormat="1" ht="12" customHeight="1">
      <c r="A142" s="524" t="s">
        <v>132</v>
      </c>
      <c r="B142" s="341" t="s">
        <v>458</v>
      </c>
      <c r="C142" s="385"/>
      <c r="D142" s="385"/>
      <c r="E142" s="368"/>
    </row>
    <row r="143" spans="1:11" s="315" customFormat="1" ht="12" customHeight="1">
      <c r="A143" s="524" t="s">
        <v>157</v>
      </c>
      <c r="B143" s="341" t="s">
        <v>459</v>
      </c>
      <c r="C143" s="385"/>
      <c r="D143" s="385"/>
      <c r="E143" s="368"/>
    </row>
    <row r="144" spans="1:11" ht="12.75" customHeight="1" thickBot="1">
      <c r="A144" s="524" t="s">
        <v>360</v>
      </c>
      <c r="B144" s="341" t="s">
        <v>460</v>
      </c>
      <c r="C144" s="385"/>
      <c r="D144" s="385"/>
      <c r="E144" s="368"/>
    </row>
    <row r="145" spans="1:5" ht="12" customHeight="1" thickBot="1">
      <c r="A145" s="357" t="s">
        <v>15</v>
      </c>
      <c r="B145" s="360" t="s">
        <v>461</v>
      </c>
      <c r="C145" s="334">
        <f>+C125+C129+C134+C140</f>
        <v>0</v>
      </c>
      <c r="D145" s="334">
        <f>+D125+D129+D134+D140</f>
        <v>0</v>
      </c>
      <c r="E145" s="335">
        <f>+E125+E129+E134+E140</f>
        <v>0</v>
      </c>
    </row>
    <row r="146" spans="1:5" ht="15" customHeight="1" thickBot="1">
      <c r="A146" s="535" t="s">
        <v>16</v>
      </c>
      <c r="B146" s="380" t="s">
        <v>462</v>
      </c>
      <c r="C146" s="334">
        <f>+C124+C145</f>
        <v>0</v>
      </c>
      <c r="D146" s="334">
        <f>+D124+D145</f>
        <v>0</v>
      </c>
      <c r="E146" s="335">
        <f>+E124+E145</f>
        <v>0</v>
      </c>
    </row>
    <row r="147" spans="1:5" ht="13.5" thickBot="1">
      <c r="A147" s="42"/>
      <c r="B147" s="43"/>
      <c r="C147" s="44"/>
      <c r="D147" s="44"/>
      <c r="E147" s="44"/>
    </row>
    <row r="148" spans="1:5" ht="15" customHeight="1" thickBot="1">
      <c r="A148" s="647" t="s">
        <v>729</v>
      </c>
      <c r="B148" s="648"/>
      <c r="C148" s="113"/>
      <c r="D148" s="114"/>
      <c r="E148" s="111"/>
    </row>
    <row r="149" spans="1:5" ht="14.25" customHeight="1" thickBot="1">
      <c r="A149" s="649" t="s">
        <v>728</v>
      </c>
      <c r="B149" s="650"/>
      <c r="C149" s="113"/>
      <c r="D149" s="114"/>
      <c r="E149" s="111"/>
    </row>
  </sheetData>
  <sheetProtection formatCells="0"/>
  <mergeCells count="4">
    <mergeCell ref="B2:D2"/>
    <mergeCell ref="B3:D3"/>
    <mergeCell ref="A7:E7"/>
    <mergeCell ref="A90:E90"/>
  </mergeCells>
  <phoneticPr fontId="27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verticalDpi="300" r:id="rId1"/>
  <headerFooter alignWithMargins="0"/>
  <rowBreaks count="1" manualBreakCount="1">
    <brk id="87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92D050"/>
  </sheetPr>
  <dimension ref="A1:E58"/>
  <sheetViews>
    <sheetView view="pageLayout" zoomScaleNormal="100" zoomScaleSheetLayoutView="115" workbookViewId="0">
      <selection activeCell="E2" sqref="E2"/>
    </sheetView>
  </sheetViews>
  <sheetFormatPr defaultRowHeight="12.75"/>
  <cols>
    <col min="1" max="1" width="16" style="556" customWidth="1"/>
    <col min="2" max="2" width="59.33203125" style="32" customWidth="1"/>
    <col min="3" max="5" width="15.83203125" style="32" customWidth="1"/>
    <col min="6" max="16384" width="9.33203125" style="32"/>
  </cols>
  <sheetData>
    <row r="1" spans="1:5" s="491" customFormat="1" ht="21" customHeight="1" thickBot="1">
      <c r="A1" s="490"/>
      <c r="B1" s="492"/>
      <c r="C1" s="537"/>
      <c r="D1" s="537"/>
      <c r="E1" s="630" t="str">
        <f>+CONCATENATE("7.1. melléklet a 15/",LEFT(ÖSSZEFÜGGÉSEK!A4,4)+1,". (V. 30.) önkormányzati rendelethez")</f>
        <v>7.1. melléklet a 15/2017. (V. 30.) önkormányzati rendelethez</v>
      </c>
    </row>
    <row r="2" spans="1:5" s="538" customFormat="1" ht="25.5" customHeight="1">
      <c r="A2" s="518" t="s">
        <v>147</v>
      </c>
      <c r="B2" s="866" t="s">
        <v>732</v>
      </c>
      <c r="C2" s="867"/>
      <c r="D2" s="868"/>
      <c r="E2" s="561" t="s">
        <v>47</v>
      </c>
    </row>
    <row r="3" spans="1:5" s="538" customFormat="1" ht="24.75" thickBot="1">
      <c r="A3" s="536" t="s">
        <v>548</v>
      </c>
      <c r="B3" s="869" t="s">
        <v>541</v>
      </c>
      <c r="C3" s="872"/>
      <c r="D3" s="873"/>
      <c r="E3" s="562" t="s">
        <v>41</v>
      </c>
    </row>
    <row r="4" spans="1:5" s="539" customFormat="1" ht="15.95" customHeight="1" thickBot="1">
      <c r="A4" s="493"/>
      <c r="B4" s="493"/>
      <c r="C4" s="494"/>
      <c r="D4" s="494"/>
      <c r="E4" s="494" t="s">
        <v>769</v>
      </c>
    </row>
    <row r="5" spans="1:5" ht="24.75" thickBot="1">
      <c r="A5" s="325" t="s">
        <v>148</v>
      </c>
      <c r="B5" s="326" t="s">
        <v>727</v>
      </c>
      <c r="C5" s="97" t="s">
        <v>178</v>
      </c>
      <c r="D5" s="97" t="s">
        <v>183</v>
      </c>
      <c r="E5" s="495" t="s">
        <v>184</v>
      </c>
    </row>
    <row r="6" spans="1:5" s="540" customFormat="1" ht="12.95" customHeight="1" thickBot="1">
      <c r="A6" s="488" t="s">
        <v>409</v>
      </c>
      <c r="B6" s="489" t="s">
        <v>410</v>
      </c>
      <c r="C6" s="489" t="s">
        <v>411</v>
      </c>
      <c r="D6" s="112" t="s">
        <v>412</v>
      </c>
      <c r="E6" s="110" t="s">
        <v>413</v>
      </c>
    </row>
    <row r="7" spans="1:5" s="540" customFormat="1" ht="15.95" customHeight="1" thickBot="1">
      <c r="A7" s="863" t="s">
        <v>42</v>
      </c>
      <c r="B7" s="864"/>
      <c r="C7" s="864"/>
      <c r="D7" s="864"/>
      <c r="E7" s="865"/>
    </row>
    <row r="8" spans="1:5" s="514" customFormat="1" ht="12" customHeight="1" thickBot="1">
      <c r="A8" s="488" t="s">
        <v>7</v>
      </c>
      <c r="B8" s="552" t="s">
        <v>549</v>
      </c>
      <c r="C8" s="419">
        <f>SUM(C9:C18)</f>
        <v>318000</v>
      </c>
      <c r="D8" s="419">
        <f>SUM(D9:D18)</f>
        <v>741131</v>
      </c>
      <c r="E8" s="558">
        <f>+'7.2. sz. mell'!E8+'7.3. sz. mell'!E8+'7.4. sz. mell'!E8</f>
        <v>338116</v>
      </c>
    </row>
    <row r="9" spans="1:5" s="514" customFormat="1" ht="12" customHeight="1">
      <c r="A9" s="563" t="s">
        <v>71</v>
      </c>
      <c r="B9" s="342" t="s">
        <v>328</v>
      </c>
      <c r="C9" s="106"/>
      <c r="D9" s="106"/>
      <c r="E9" s="664">
        <f>+'7.2. sz. mell'!E9+'7.3. sz. mell'!E9+'7.4. sz. mell'!E9</f>
        <v>0</v>
      </c>
    </row>
    <row r="10" spans="1:5" s="514" customFormat="1" ht="12" customHeight="1">
      <c r="A10" s="564" t="s">
        <v>72</v>
      </c>
      <c r="B10" s="340" t="s">
        <v>329</v>
      </c>
      <c r="C10" s="416">
        <v>250000</v>
      </c>
      <c r="D10" s="416">
        <v>541224</v>
      </c>
      <c r="E10" s="666">
        <f>+'7.2. sz. mell'!E10+'7.3. sz. mell'!E10+'7.4. sz. mell'!E10</f>
        <v>190000</v>
      </c>
    </row>
    <row r="11" spans="1:5" s="514" customFormat="1" ht="12" customHeight="1">
      <c r="A11" s="564" t="s">
        <v>73</v>
      </c>
      <c r="B11" s="340" t="s">
        <v>330</v>
      </c>
      <c r="C11" s="416"/>
      <c r="D11" s="416"/>
      <c r="E11" s="667">
        <f>+'7.2. sz. mell'!E11+'7.3. sz. mell'!E11+'7.4. sz. mell'!E11</f>
        <v>0</v>
      </c>
    </row>
    <row r="12" spans="1:5" s="514" customFormat="1" ht="12" customHeight="1">
      <c r="A12" s="564" t="s">
        <v>74</v>
      </c>
      <c r="B12" s="340" t="s">
        <v>331</v>
      </c>
      <c r="C12" s="416"/>
      <c r="D12" s="416"/>
      <c r="E12" s="666">
        <f>+'7.2. sz. mell'!E12+'7.3. sz. mell'!E12+'7.4. sz. mell'!E12</f>
        <v>0</v>
      </c>
    </row>
    <row r="13" spans="1:5" s="514" customFormat="1" ht="12" customHeight="1">
      <c r="A13" s="564" t="s">
        <v>107</v>
      </c>
      <c r="B13" s="340" t="s">
        <v>332</v>
      </c>
      <c r="C13" s="416"/>
      <c r="D13" s="416"/>
      <c r="E13" s="667">
        <f>+'7.2. sz. mell'!E13+'7.3. sz. mell'!E13+'7.4. sz. mell'!E13</f>
        <v>0</v>
      </c>
    </row>
    <row r="14" spans="1:5" s="514" customFormat="1" ht="12" customHeight="1">
      <c r="A14" s="564" t="s">
        <v>75</v>
      </c>
      <c r="B14" s="340" t="s">
        <v>550</v>
      </c>
      <c r="C14" s="416">
        <v>68000</v>
      </c>
      <c r="D14" s="416">
        <v>146631</v>
      </c>
      <c r="E14" s="666">
        <f>+'7.2. sz. mell'!E14+'7.3. sz. mell'!E14+'7.4. sz. mell'!E14</f>
        <v>51300</v>
      </c>
    </row>
    <row r="15" spans="1:5" s="541" customFormat="1" ht="12" customHeight="1">
      <c r="A15" s="564" t="s">
        <v>76</v>
      </c>
      <c r="B15" s="339" t="s">
        <v>551</v>
      </c>
      <c r="C15" s="416"/>
      <c r="D15" s="416"/>
      <c r="E15" s="667">
        <f>+'7.2. sz. mell'!E15+'7.3. sz. mell'!E15+'7.4. sz. mell'!E15</f>
        <v>0</v>
      </c>
    </row>
    <row r="16" spans="1:5" s="541" customFormat="1" ht="12" customHeight="1">
      <c r="A16" s="564" t="s">
        <v>84</v>
      </c>
      <c r="B16" s="340" t="s">
        <v>335</v>
      </c>
      <c r="C16" s="107"/>
      <c r="D16" s="107">
        <v>10</v>
      </c>
      <c r="E16" s="666">
        <f>+'7.2. sz. mell'!E16+'7.3. sz. mell'!E16+'7.4. sz. mell'!E16</f>
        <v>8</v>
      </c>
    </row>
    <row r="17" spans="1:5" s="514" customFormat="1" ht="12" customHeight="1">
      <c r="A17" s="564" t="s">
        <v>85</v>
      </c>
      <c r="B17" s="340" t="s">
        <v>337</v>
      </c>
      <c r="C17" s="416"/>
      <c r="D17" s="416"/>
      <c r="E17" s="666">
        <f>+'7.2. sz. mell'!E17+'7.3. sz. mell'!E17+'7.4. sz. mell'!E17</f>
        <v>0</v>
      </c>
    </row>
    <row r="18" spans="1:5" s="541" customFormat="1" ht="12" customHeight="1" thickBot="1">
      <c r="A18" s="564" t="s">
        <v>86</v>
      </c>
      <c r="B18" s="339" t="s">
        <v>339</v>
      </c>
      <c r="C18" s="418"/>
      <c r="D18" s="418">
        <v>53266</v>
      </c>
      <c r="E18" s="665">
        <f>+'7.2. sz. mell'!E18+'7.3. sz. mell'!E18+'7.4. sz. mell'!E18</f>
        <v>96808</v>
      </c>
    </row>
    <row r="19" spans="1:5" s="541" customFormat="1" ht="12" customHeight="1" thickBot="1">
      <c r="A19" s="488" t="s">
        <v>8</v>
      </c>
      <c r="B19" s="552" t="s">
        <v>552</v>
      </c>
      <c r="C19" s="419">
        <f>SUM(C20:C22)</f>
        <v>0</v>
      </c>
      <c r="D19" s="419">
        <f>SUM(D20:D22)</f>
        <v>999749</v>
      </c>
      <c r="E19" s="558">
        <f>+'7.2. sz. mell'!E19+'7.3. sz. mell'!E19+'7.4. sz. mell'!E19</f>
        <v>999749</v>
      </c>
    </row>
    <row r="20" spans="1:5" s="541" customFormat="1" ht="12" customHeight="1">
      <c r="A20" s="564" t="s">
        <v>77</v>
      </c>
      <c r="B20" s="341" t="s">
        <v>309</v>
      </c>
      <c r="C20" s="416"/>
      <c r="D20" s="416"/>
      <c r="E20" s="664">
        <f>+'7.2. sz. mell'!E20+'7.3. sz. mell'!E20+'7.4. sz. mell'!E20</f>
        <v>0</v>
      </c>
    </row>
    <row r="21" spans="1:5" s="541" customFormat="1" ht="12" customHeight="1">
      <c r="A21" s="564" t="s">
        <v>78</v>
      </c>
      <c r="B21" s="340" t="s">
        <v>553</v>
      </c>
      <c r="C21" s="416"/>
      <c r="D21" s="416"/>
      <c r="E21" s="666">
        <f>+'7.2. sz. mell'!E21+'7.3. sz. mell'!E21+'7.4. sz. mell'!E21</f>
        <v>0</v>
      </c>
    </row>
    <row r="22" spans="1:5" s="541" customFormat="1" ht="12" customHeight="1">
      <c r="A22" s="564" t="s">
        <v>79</v>
      </c>
      <c r="B22" s="340" t="s">
        <v>554</v>
      </c>
      <c r="C22" s="416"/>
      <c r="D22" s="416">
        <v>999749</v>
      </c>
      <c r="E22" s="666">
        <f>+'7.2. sz. mell'!E22+'7.3. sz. mell'!E22+'7.4. sz. mell'!E22</f>
        <v>999749</v>
      </c>
    </row>
    <row r="23" spans="1:5" s="541" customFormat="1" ht="12" customHeight="1" thickBot="1">
      <c r="A23" s="564" t="s">
        <v>80</v>
      </c>
      <c r="B23" s="340" t="s">
        <v>666</v>
      </c>
      <c r="C23" s="416"/>
      <c r="D23" s="416"/>
      <c r="E23" s="665">
        <f>+'7.2. sz. mell'!E23+'7.3. sz. mell'!E23+'7.4. sz. mell'!E23</f>
        <v>0</v>
      </c>
    </row>
    <row r="24" spans="1:5" s="541" customFormat="1" ht="12" customHeight="1" thickBot="1">
      <c r="A24" s="551" t="s">
        <v>9</v>
      </c>
      <c r="B24" s="360" t="s">
        <v>124</v>
      </c>
      <c r="C24" s="41">
        <v>50000</v>
      </c>
      <c r="D24" s="41">
        <v>17962</v>
      </c>
      <c r="E24" s="558">
        <f>+'7.2. sz. mell'!E24+'7.3. sz. mell'!E24+'7.4. sz. mell'!E24</f>
        <v>17962</v>
      </c>
    </row>
    <row r="25" spans="1:5" s="541" customFormat="1" ht="12" customHeight="1" thickBot="1">
      <c r="A25" s="551" t="s">
        <v>10</v>
      </c>
      <c r="B25" s="360" t="s">
        <v>555</v>
      </c>
      <c r="C25" s="419">
        <f>SUM(C26:C27)</f>
        <v>0</v>
      </c>
      <c r="D25" s="419">
        <f>SUM(D26:D27)</f>
        <v>0</v>
      </c>
      <c r="E25" s="558">
        <f>+'7.2. sz. mell'!E25+'7.3. sz. mell'!E25+'7.4. sz. mell'!E25</f>
        <v>0</v>
      </c>
    </row>
    <row r="26" spans="1:5" s="541" customFormat="1" ht="12" customHeight="1">
      <c r="A26" s="565" t="s">
        <v>322</v>
      </c>
      <c r="B26" s="566" t="s">
        <v>553</v>
      </c>
      <c r="C26" s="103"/>
      <c r="D26" s="103"/>
      <c r="E26" s="664">
        <f>+'7.2. sz. mell'!E26+'7.3. sz. mell'!E26+'7.4. sz. mell'!E26</f>
        <v>0</v>
      </c>
    </row>
    <row r="27" spans="1:5" s="541" customFormat="1" ht="12" customHeight="1">
      <c r="A27" s="565" t="s">
        <v>323</v>
      </c>
      <c r="B27" s="567" t="s">
        <v>556</v>
      </c>
      <c r="C27" s="420"/>
      <c r="D27" s="420"/>
      <c r="E27" s="666">
        <f>+'7.2. sz. mell'!E27+'7.3. sz. mell'!E27+'7.4. sz. mell'!E27</f>
        <v>0</v>
      </c>
    </row>
    <row r="28" spans="1:5" s="541" customFormat="1" ht="12" customHeight="1" thickBot="1">
      <c r="A28" s="564" t="s">
        <v>324</v>
      </c>
      <c r="B28" s="568" t="s">
        <v>667</v>
      </c>
      <c r="C28" s="548"/>
      <c r="D28" s="548"/>
      <c r="E28" s="665">
        <f>+'7.2. sz. mell'!E28+'7.3. sz. mell'!E28+'7.4. sz. mell'!E28</f>
        <v>0</v>
      </c>
    </row>
    <row r="29" spans="1:5" s="541" customFormat="1" ht="12" customHeight="1" thickBot="1">
      <c r="A29" s="551" t="s">
        <v>11</v>
      </c>
      <c r="B29" s="360" t="s">
        <v>557</v>
      </c>
      <c r="C29" s="419">
        <f>SUM(C30:C32)</f>
        <v>0</v>
      </c>
      <c r="D29" s="419">
        <f>SUM(D30:D32)</f>
        <v>0</v>
      </c>
      <c r="E29" s="558">
        <f>+'7.2. sz. mell'!E29+'7.3. sz. mell'!E29+'7.4. sz. mell'!E29</f>
        <v>0</v>
      </c>
    </row>
    <row r="30" spans="1:5" s="541" customFormat="1" ht="12" customHeight="1">
      <c r="A30" s="565" t="s">
        <v>64</v>
      </c>
      <c r="B30" s="566" t="s">
        <v>341</v>
      </c>
      <c r="C30" s="103"/>
      <c r="D30" s="103"/>
      <c r="E30" s="664">
        <f>+'7.2. sz. mell'!E30+'7.3. sz. mell'!E30+'7.4. sz. mell'!E30</f>
        <v>0</v>
      </c>
    </row>
    <row r="31" spans="1:5" s="541" customFormat="1" ht="12" customHeight="1">
      <c r="A31" s="565" t="s">
        <v>65</v>
      </c>
      <c r="B31" s="567" t="s">
        <v>342</v>
      </c>
      <c r="C31" s="420"/>
      <c r="D31" s="420"/>
      <c r="E31" s="666">
        <f>+'7.2. sz. mell'!E31+'7.3. sz. mell'!E31+'7.4. sz. mell'!E31</f>
        <v>0</v>
      </c>
    </row>
    <row r="32" spans="1:5" s="541" customFormat="1" ht="12" customHeight="1" thickBot="1">
      <c r="A32" s="564" t="s">
        <v>66</v>
      </c>
      <c r="B32" s="550" t="s">
        <v>344</v>
      </c>
      <c r="C32" s="548"/>
      <c r="D32" s="548"/>
      <c r="E32" s="665">
        <f>+'7.2. sz. mell'!E32+'7.3. sz. mell'!E32+'7.4. sz. mell'!E32</f>
        <v>0</v>
      </c>
    </row>
    <row r="33" spans="1:5" s="541" customFormat="1" ht="12" customHeight="1" thickBot="1">
      <c r="A33" s="551" t="s">
        <v>12</v>
      </c>
      <c r="B33" s="360" t="s">
        <v>469</v>
      </c>
      <c r="C33" s="41"/>
      <c r="D33" s="41"/>
      <c r="E33" s="558">
        <f>+'7.2. sz. mell'!E33+'7.3. sz. mell'!E33+'7.4. sz. mell'!E33</f>
        <v>0</v>
      </c>
    </row>
    <row r="34" spans="1:5" s="514" customFormat="1" ht="12" customHeight="1" thickBot="1">
      <c r="A34" s="551" t="s">
        <v>13</v>
      </c>
      <c r="B34" s="360" t="s">
        <v>558</v>
      </c>
      <c r="C34" s="41"/>
      <c r="D34" s="41"/>
      <c r="E34" s="558">
        <f>+'7.2. sz. mell'!E34+'7.3. sz. mell'!E34+'7.4. sz. mell'!E34</f>
        <v>0</v>
      </c>
    </row>
    <row r="35" spans="1:5" s="514" customFormat="1" ht="12" customHeight="1" thickBot="1">
      <c r="A35" s="488" t="s">
        <v>14</v>
      </c>
      <c r="B35" s="360" t="s">
        <v>668</v>
      </c>
      <c r="C35" s="419">
        <f>+C8+C19+C24+C25+C29+C33+C34</f>
        <v>368000</v>
      </c>
      <c r="D35" s="419">
        <f>+D8+D19+D24+D25+D29+D33+D34</f>
        <v>1758842</v>
      </c>
      <c r="E35" s="558">
        <f>+'7.2. sz. mell'!E35+'7.3. sz. mell'!E35+'7.4. sz. mell'!E35</f>
        <v>1355827</v>
      </c>
    </row>
    <row r="36" spans="1:5" s="514" customFormat="1" ht="12" customHeight="1" thickBot="1">
      <c r="A36" s="553" t="s">
        <v>15</v>
      </c>
      <c r="B36" s="360" t="s">
        <v>560</v>
      </c>
      <c r="C36" s="419">
        <f>+C37+C38+C39</f>
        <v>86672000</v>
      </c>
      <c r="D36" s="419">
        <f>+D37+D38+D39</f>
        <v>87173302</v>
      </c>
      <c r="E36" s="558">
        <f>+'7.2. sz. mell'!E36+'7.3. sz. mell'!E36+'7.4. sz. mell'!E36</f>
        <v>78392232</v>
      </c>
    </row>
    <row r="37" spans="1:5" s="514" customFormat="1" ht="12" customHeight="1">
      <c r="A37" s="565" t="s">
        <v>561</v>
      </c>
      <c r="B37" s="566" t="s">
        <v>165</v>
      </c>
      <c r="C37" s="103"/>
      <c r="D37" s="103">
        <v>1302</v>
      </c>
      <c r="E37" s="664">
        <f>+'7.2. sz. mell'!E37+'7.3. sz. mell'!E37+'7.4. sz. mell'!E37</f>
        <v>1302</v>
      </c>
    </row>
    <row r="38" spans="1:5" s="541" customFormat="1" ht="12" customHeight="1">
      <c r="A38" s="565" t="s">
        <v>562</v>
      </c>
      <c r="B38" s="567" t="s">
        <v>3</v>
      </c>
      <c r="C38" s="420"/>
      <c r="D38" s="420"/>
      <c r="E38" s="666">
        <f>+'7.2. sz. mell'!E38+'7.3. sz. mell'!E38+'7.4. sz. mell'!E38</f>
        <v>0</v>
      </c>
    </row>
    <row r="39" spans="1:5" s="541" customFormat="1" ht="12" customHeight="1" thickBot="1">
      <c r="A39" s="564" t="s">
        <v>563</v>
      </c>
      <c r="B39" s="550" t="s">
        <v>564</v>
      </c>
      <c r="C39" s="548">
        <v>86672000</v>
      </c>
      <c r="D39" s="548">
        <v>87172000</v>
      </c>
      <c r="E39" s="665">
        <f>+'7.2. sz. mell'!E39+'7.3. sz. mell'!E39+'7.4. sz. mell'!E39</f>
        <v>78390930</v>
      </c>
    </row>
    <row r="40" spans="1:5" s="541" customFormat="1" ht="15" customHeight="1" thickBot="1">
      <c r="A40" s="553" t="s">
        <v>16</v>
      </c>
      <c r="B40" s="554" t="s">
        <v>565</v>
      </c>
      <c r="C40" s="109">
        <f>+C35+C36</f>
        <v>87040000</v>
      </c>
      <c r="D40" s="109">
        <f>+D35+D36</f>
        <v>88932144</v>
      </c>
      <c r="E40" s="558">
        <f>+'7.2. sz. mell'!E40+'7.3. sz. mell'!E40+'7.4. sz. mell'!E40</f>
        <v>79748059</v>
      </c>
    </row>
    <row r="41" spans="1:5" s="541" customFormat="1" ht="15" customHeight="1">
      <c r="A41" s="496"/>
      <c r="B41" s="497"/>
      <c r="C41" s="512"/>
      <c r="D41" s="512"/>
      <c r="E41" s="512"/>
    </row>
    <row r="42" spans="1:5" ht="13.5" thickBot="1">
      <c r="A42" s="498"/>
      <c r="B42" s="499"/>
      <c r="C42" s="513"/>
      <c r="D42" s="513"/>
      <c r="E42" s="513"/>
    </row>
    <row r="43" spans="1:5" s="540" customFormat="1" ht="16.5" customHeight="1" thickBot="1">
      <c r="A43" s="863" t="s">
        <v>43</v>
      </c>
      <c r="B43" s="864"/>
      <c r="C43" s="864"/>
      <c r="D43" s="864"/>
      <c r="E43" s="865"/>
    </row>
    <row r="44" spans="1:5" s="315" customFormat="1" ht="12" customHeight="1" thickBot="1">
      <c r="A44" s="551" t="s">
        <v>7</v>
      </c>
      <c r="B44" s="360" t="s">
        <v>566</v>
      </c>
      <c r="C44" s="419">
        <f>SUM(C45:C49)</f>
        <v>87040000</v>
      </c>
      <c r="D44" s="419">
        <f>SUM(D45:D49)</f>
        <v>88592144</v>
      </c>
      <c r="E44" s="451">
        <f>+'7.2. sz. mell'!E44+'7.3. sz. mell'!E44+'7.4. sz. mell'!E44</f>
        <v>82691463</v>
      </c>
    </row>
    <row r="45" spans="1:5" ht="12" customHeight="1">
      <c r="A45" s="564" t="s">
        <v>71</v>
      </c>
      <c r="B45" s="341" t="s">
        <v>37</v>
      </c>
      <c r="C45" s="103">
        <v>59237000</v>
      </c>
      <c r="D45" s="103">
        <v>59834609</v>
      </c>
      <c r="E45" s="668">
        <f>+'7.2. sz. mell'!E45+'7.3. sz. mell'!E45+'7.4. sz. mell'!E45</f>
        <v>56374294</v>
      </c>
    </row>
    <row r="46" spans="1:5" ht="12" customHeight="1">
      <c r="A46" s="564" t="s">
        <v>72</v>
      </c>
      <c r="B46" s="340" t="s">
        <v>133</v>
      </c>
      <c r="C46" s="413">
        <v>16404000</v>
      </c>
      <c r="D46" s="413">
        <v>16605043</v>
      </c>
      <c r="E46" s="666">
        <f>+'7.2. sz. mell'!E46+'7.3. sz. mell'!E46+'7.4. sz. mell'!E46</f>
        <v>15503366</v>
      </c>
    </row>
    <row r="47" spans="1:5" ht="12" customHeight="1">
      <c r="A47" s="564" t="s">
        <v>73</v>
      </c>
      <c r="B47" s="340" t="s">
        <v>100</v>
      </c>
      <c r="C47" s="413">
        <v>11399000</v>
      </c>
      <c r="D47" s="413">
        <v>12152492</v>
      </c>
      <c r="E47" s="670">
        <f>+'7.2. sz. mell'!E47+'7.3. sz. mell'!E47+'7.4. sz. mell'!E47</f>
        <v>10813803</v>
      </c>
    </row>
    <row r="48" spans="1:5" ht="12" customHeight="1">
      <c r="A48" s="564" t="s">
        <v>74</v>
      </c>
      <c r="B48" s="340" t="s">
        <v>134</v>
      </c>
      <c r="C48" s="413"/>
      <c r="D48" s="413"/>
      <c r="E48" s="666">
        <f>+'7.2. sz. mell'!E48+'7.3. sz. mell'!E48+'7.4. sz. mell'!E48</f>
        <v>0</v>
      </c>
    </row>
    <row r="49" spans="1:5" ht="12" customHeight="1" thickBot="1">
      <c r="A49" s="564" t="s">
        <v>107</v>
      </c>
      <c r="B49" s="340" t="s">
        <v>135</v>
      </c>
      <c r="C49" s="413"/>
      <c r="D49" s="413"/>
      <c r="E49" s="669">
        <f>+'7.2. sz. mell'!E49+'7.3. sz. mell'!E49+'7.4. sz. mell'!E49</f>
        <v>0</v>
      </c>
    </row>
    <row r="50" spans="1:5" ht="12" customHeight="1" thickBot="1">
      <c r="A50" s="551" t="s">
        <v>8</v>
      </c>
      <c r="B50" s="360" t="s">
        <v>567</v>
      </c>
      <c r="C50" s="419">
        <f>SUM(C51:C53)</f>
        <v>0</v>
      </c>
      <c r="D50" s="419">
        <f>SUM(D51:D53)</f>
        <v>340000</v>
      </c>
      <c r="E50" s="451">
        <f>+'7.2. sz. mell'!E50+'7.3. sz. mell'!E50+'7.4. sz. mell'!E50</f>
        <v>339992</v>
      </c>
    </row>
    <row r="51" spans="1:5" s="315" customFormat="1" ht="12" customHeight="1">
      <c r="A51" s="564" t="s">
        <v>77</v>
      </c>
      <c r="B51" s="341" t="s">
        <v>155</v>
      </c>
      <c r="C51" s="103"/>
      <c r="D51" s="103">
        <v>340000</v>
      </c>
      <c r="E51" s="668">
        <f>+'7.2. sz. mell'!E51+'7.3. sz. mell'!E51+'7.4. sz. mell'!E51</f>
        <v>339992</v>
      </c>
    </row>
    <row r="52" spans="1:5" ht="12" customHeight="1">
      <c r="A52" s="564" t="s">
        <v>78</v>
      </c>
      <c r="B52" s="340" t="s">
        <v>137</v>
      </c>
      <c r="C52" s="413"/>
      <c r="D52" s="413"/>
      <c r="E52" s="666">
        <f>+'7.2. sz. mell'!E52+'7.3. sz. mell'!E52+'7.4. sz. mell'!E52</f>
        <v>0</v>
      </c>
    </row>
    <row r="53" spans="1:5" ht="12" customHeight="1">
      <c r="A53" s="564" t="s">
        <v>79</v>
      </c>
      <c r="B53" s="340" t="s">
        <v>44</v>
      </c>
      <c r="C53" s="413"/>
      <c r="D53" s="413"/>
      <c r="E53" s="666">
        <f>+'7.2. sz. mell'!E53+'7.3. sz. mell'!E53+'7.4. sz. mell'!E53</f>
        <v>0</v>
      </c>
    </row>
    <row r="54" spans="1:5" ht="12" customHeight="1" thickBot="1">
      <c r="A54" s="564" t="s">
        <v>80</v>
      </c>
      <c r="B54" s="340" t="s">
        <v>669</v>
      </c>
      <c r="C54" s="413"/>
      <c r="D54" s="413"/>
      <c r="E54" s="669">
        <f>+'7.2. sz. mell'!E54+'7.3. sz. mell'!E54+'7.4. sz. mell'!E54</f>
        <v>0</v>
      </c>
    </row>
    <row r="55" spans="1:5" ht="12" customHeight="1" thickBot="1">
      <c r="A55" s="551" t="s">
        <v>9</v>
      </c>
      <c r="B55" s="555" t="s">
        <v>568</v>
      </c>
      <c r="C55" s="419">
        <f>+C44+C50</f>
        <v>87040000</v>
      </c>
      <c r="D55" s="419">
        <f>+D44+D50</f>
        <v>88932144</v>
      </c>
      <c r="E55" s="451">
        <f>+'7.2. sz. mell'!E55+'7.3. sz. mell'!E55+'7.4. sz. mell'!E55</f>
        <v>83031455</v>
      </c>
    </row>
    <row r="56" spans="1:5" ht="13.5" thickBot="1">
      <c r="C56" s="560"/>
      <c r="D56" s="560"/>
      <c r="E56" s="560"/>
    </row>
    <row r="57" spans="1:5" ht="15" customHeight="1" thickBot="1">
      <c r="A57" s="647" t="s">
        <v>729</v>
      </c>
      <c r="B57" s="648"/>
      <c r="C57" s="113"/>
      <c r="D57" s="113"/>
      <c r="E57" s="549">
        <f>+'7.2. sz. mell'!E57+'7.3. sz. mell'!E57+'7.4. sz. mell'!E57</f>
        <v>21</v>
      </c>
    </row>
    <row r="58" spans="1:5" ht="14.25" customHeight="1" thickBot="1">
      <c r="A58" s="649" t="s">
        <v>728</v>
      </c>
      <c r="B58" s="650"/>
      <c r="C58" s="113"/>
      <c r="D58" s="113"/>
      <c r="E58" s="549"/>
    </row>
  </sheetData>
  <sheetProtection formatCells="0"/>
  <mergeCells count="4">
    <mergeCell ref="A7:E7"/>
    <mergeCell ref="A43:E43"/>
    <mergeCell ref="B2:D2"/>
    <mergeCell ref="B3:D3"/>
  </mergeCells>
  <phoneticPr fontId="27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92D050"/>
  </sheetPr>
  <dimension ref="A1:E58"/>
  <sheetViews>
    <sheetView zoomScaleNormal="100" zoomScaleSheetLayoutView="115" workbookViewId="0">
      <selection activeCell="E2" sqref="E2"/>
    </sheetView>
  </sheetViews>
  <sheetFormatPr defaultRowHeight="12.75"/>
  <cols>
    <col min="1" max="1" width="16" style="556" customWidth="1"/>
    <col min="2" max="2" width="59.33203125" style="32" customWidth="1"/>
    <col min="3" max="5" width="15.83203125" style="32" customWidth="1"/>
    <col min="6" max="16384" width="9.33203125" style="32"/>
  </cols>
  <sheetData>
    <row r="1" spans="1:5" s="491" customFormat="1" ht="21" customHeight="1" thickBot="1">
      <c r="A1" s="490"/>
      <c r="B1" s="492"/>
      <c r="C1" s="537"/>
      <c r="D1" s="537"/>
      <c r="E1" s="630" t="str">
        <f>+CONCATENATE("7.2. melléklet a 15/",LEFT(ÖSSZEFÜGGÉSEK!A4,4)+1,". (V. 30.) önkormányzati rendelethez")</f>
        <v>7.2. melléklet a 15/2017. (V. 30.) önkormányzati rendelethez</v>
      </c>
    </row>
    <row r="2" spans="1:5" s="538" customFormat="1" ht="25.5" customHeight="1">
      <c r="A2" s="518" t="s">
        <v>147</v>
      </c>
      <c r="B2" s="866" t="s">
        <v>732</v>
      </c>
      <c r="C2" s="867"/>
      <c r="D2" s="868"/>
      <c r="E2" s="561" t="s">
        <v>47</v>
      </c>
    </row>
    <row r="3" spans="1:5" s="538" customFormat="1" ht="24.75" thickBot="1">
      <c r="A3" s="536" t="s">
        <v>548</v>
      </c>
      <c r="B3" s="869" t="s">
        <v>663</v>
      </c>
      <c r="C3" s="872"/>
      <c r="D3" s="873"/>
      <c r="E3" s="562" t="s">
        <v>47</v>
      </c>
    </row>
    <row r="4" spans="1:5" s="539" customFormat="1" ht="15.95" customHeight="1" thickBot="1">
      <c r="A4" s="493"/>
      <c r="B4" s="493"/>
      <c r="C4" s="494"/>
      <c r="D4" s="494"/>
      <c r="E4" s="494" t="s">
        <v>769</v>
      </c>
    </row>
    <row r="5" spans="1:5" ht="24.75" thickBot="1">
      <c r="A5" s="325" t="s">
        <v>148</v>
      </c>
      <c r="B5" s="326" t="s">
        <v>727</v>
      </c>
      <c r="C5" s="97" t="s">
        <v>178</v>
      </c>
      <c r="D5" s="97" t="s">
        <v>183</v>
      </c>
      <c r="E5" s="495" t="s">
        <v>184</v>
      </c>
    </row>
    <row r="6" spans="1:5" s="540" customFormat="1" ht="12.95" customHeight="1" thickBot="1">
      <c r="A6" s="488" t="s">
        <v>409</v>
      </c>
      <c r="B6" s="489" t="s">
        <v>410</v>
      </c>
      <c r="C6" s="489" t="s">
        <v>411</v>
      </c>
      <c r="D6" s="112" t="s">
        <v>412</v>
      </c>
      <c r="E6" s="110" t="s">
        <v>413</v>
      </c>
    </row>
    <row r="7" spans="1:5" s="540" customFormat="1" ht="15.95" customHeight="1" thickBot="1">
      <c r="A7" s="863" t="s">
        <v>42</v>
      </c>
      <c r="B7" s="864"/>
      <c r="C7" s="864"/>
      <c r="D7" s="864"/>
      <c r="E7" s="865"/>
    </row>
    <row r="8" spans="1:5" s="514" customFormat="1" ht="12" customHeight="1" thickBot="1">
      <c r="A8" s="488" t="s">
        <v>7</v>
      </c>
      <c r="B8" s="552" t="s">
        <v>549</v>
      </c>
      <c r="C8" s="419">
        <f>SUM(C9:C18)</f>
        <v>318000</v>
      </c>
      <c r="D8" s="419">
        <f>SUM(D9:D18)</f>
        <v>741131</v>
      </c>
      <c r="E8" s="558">
        <f>SUM(E9:E18)</f>
        <v>338116</v>
      </c>
    </row>
    <row r="9" spans="1:5" s="514" customFormat="1" ht="12" customHeight="1">
      <c r="A9" s="563" t="s">
        <v>71</v>
      </c>
      <c r="B9" s="342" t="s">
        <v>328</v>
      </c>
      <c r="C9" s="106"/>
      <c r="D9" s="106"/>
      <c r="E9" s="547"/>
    </row>
    <row r="10" spans="1:5" s="514" customFormat="1" ht="12" customHeight="1">
      <c r="A10" s="564" t="s">
        <v>72</v>
      </c>
      <c r="B10" s="340" t="s">
        <v>329</v>
      </c>
      <c r="C10" s="416">
        <v>250000</v>
      </c>
      <c r="D10" s="416">
        <v>541224</v>
      </c>
      <c r="E10" s="115">
        <v>190000</v>
      </c>
    </row>
    <row r="11" spans="1:5" s="514" customFormat="1" ht="12" customHeight="1">
      <c r="A11" s="564" t="s">
        <v>73</v>
      </c>
      <c r="B11" s="340" t="s">
        <v>330</v>
      </c>
      <c r="C11" s="416"/>
      <c r="D11" s="416"/>
      <c r="E11" s="115"/>
    </row>
    <row r="12" spans="1:5" s="514" customFormat="1" ht="12" customHeight="1">
      <c r="A12" s="564" t="s">
        <v>74</v>
      </c>
      <c r="B12" s="340" t="s">
        <v>331</v>
      </c>
      <c r="C12" s="416"/>
      <c r="D12" s="416"/>
      <c r="E12" s="115"/>
    </row>
    <row r="13" spans="1:5" s="514" customFormat="1" ht="12" customHeight="1">
      <c r="A13" s="564" t="s">
        <v>107</v>
      </c>
      <c r="B13" s="340" t="s">
        <v>332</v>
      </c>
      <c r="C13" s="416"/>
      <c r="D13" s="416"/>
      <c r="E13" s="115"/>
    </row>
    <row r="14" spans="1:5" s="514" customFormat="1" ht="12" customHeight="1">
      <c r="A14" s="564" t="s">
        <v>75</v>
      </c>
      <c r="B14" s="340" t="s">
        <v>550</v>
      </c>
      <c r="C14" s="416">
        <v>68000</v>
      </c>
      <c r="D14" s="416">
        <v>146631</v>
      </c>
      <c r="E14" s="115">
        <v>51300</v>
      </c>
    </row>
    <row r="15" spans="1:5" s="541" customFormat="1" ht="12" customHeight="1">
      <c r="A15" s="564" t="s">
        <v>76</v>
      </c>
      <c r="B15" s="339" t="s">
        <v>551</v>
      </c>
      <c r="C15" s="416"/>
      <c r="D15" s="416"/>
      <c r="E15" s="115"/>
    </row>
    <row r="16" spans="1:5" s="541" customFormat="1" ht="12" customHeight="1">
      <c r="A16" s="564" t="s">
        <v>84</v>
      </c>
      <c r="B16" s="340" t="s">
        <v>335</v>
      </c>
      <c r="C16" s="107"/>
      <c r="D16" s="107">
        <v>10</v>
      </c>
      <c r="E16" s="546">
        <v>8</v>
      </c>
    </row>
    <row r="17" spans="1:5" s="514" customFormat="1" ht="12" customHeight="1">
      <c r="A17" s="564" t="s">
        <v>85</v>
      </c>
      <c r="B17" s="340" t="s">
        <v>337</v>
      </c>
      <c r="C17" s="416"/>
      <c r="D17" s="416"/>
      <c r="E17" s="115"/>
    </row>
    <row r="18" spans="1:5" s="541" customFormat="1" ht="12" customHeight="1" thickBot="1">
      <c r="A18" s="564" t="s">
        <v>86</v>
      </c>
      <c r="B18" s="339" t="s">
        <v>339</v>
      </c>
      <c r="C18" s="418"/>
      <c r="D18" s="418">
        <v>53266</v>
      </c>
      <c r="E18" s="542">
        <v>96808</v>
      </c>
    </row>
    <row r="19" spans="1:5" s="541" customFormat="1" ht="12" customHeight="1" thickBot="1">
      <c r="A19" s="488" t="s">
        <v>8</v>
      </c>
      <c r="B19" s="552" t="s">
        <v>552</v>
      </c>
      <c r="C19" s="419">
        <f>SUM(C20:C22)</f>
        <v>0</v>
      </c>
      <c r="D19" s="419">
        <f>SUM(D20:D22)</f>
        <v>0</v>
      </c>
      <c r="E19" s="558">
        <f>SUM(E20:E22)</f>
        <v>0</v>
      </c>
    </row>
    <row r="20" spans="1:5" s="541" customFormat="1" ht="12" customHeight="1">
      <c r="A20" s="564" t="s">
        <v>77</v>
      </c>
      <c r="B20" s="341" t="s">
        <v>309</v>
      </c>
      <c r="C20" s="416"/>
      <c r="D20" s="416"/>
      <c r="E20" s="115"/>
    </row>
    <row r="21" spans="1:5" s="541" customFormat="1" ht="12" customHeight="1">
      <c r="A21" s="564" t="s">
        <v>78</v>
      </c>
      <c r="B21" s="340" t="s">
        <v>553</v>
      </c>
      <c r="C21" s="416"/>
      <c r="D21" s="416"/>
      <c r="E21" s="115"/>
    </row>
    <row r="22" spans="1:5" s="541" customFormat="1" ht="12" customHeight="1">
      <c r="A22" s="564" t="s">
        <v>79</v>
      </c>
      <c r="B22" s="340" t="s">
        <v>554</v>
      </c>
      <c r="C22" s="416"/>
      <c r="D22" s="416"/>
      <c r="E22" s="115"/>
    </row>
    <row r="23" spans="1:5" s="541" customFormat="1" ht="12" customHeight="1" thickBot="1">
      <c r="A23" s="564" t="s">
        <v>80</v>
      </c>
      <c r="B23" s="340" t="s">
        <v>666</v>
      </c>
      <c r="C23" s="416"/>
      <c r="D23" s="416"/>
      <c r="E23" s="115"/>
    </row>
    <row r="24" spans="1:5" s="541" customFormat="1" ht="12" customHeight="1" thickBot="1">
      <c r="A24" s="551" t="s">
        <v>9</v>
      </c>
      <c r="B24" s="360" t="s">
        <v>124</v>
      </c>
      <c r="C24" s="41">
        <v>50000</v>
      </c>
      <c r="D24" s="41">
        <v>17962</v>
      </c>
      <c r="E24" s="557">
        <v>17962</v>
      </c>
    </row>
    <row r="25" spans="1:5" s="541" customFormat="1" ht="12" customHeight="1" thickBot="1">
      <c r="A25" s="551" t="s">
        <v>10</v>
      </c>
      <c r="B25" s="360" t="s">
        <v>555</v>
      </c>
      <c r="C25" s="419">
        <f>SUM(C26:C27)</f>
        <v>0</v>
      </c>
      <c r="D25" s="419">
        <f>SUM(D26:D27)</f>
        <v>0</v>
      </c>
      <c r="E25" s="558">
        <f>SUM(E26:E27)</f>
        <v>0</v>
      </c>
    </row>
    <row r="26" spans="1:5" s="541" customFormat="1" ht="12" customHeight="1">
      <c r="A26" s="565" t="s">
        <v>322</v>
      </c>
      <c r="B26" s="566" t="s">
        <v>553</v>
      </c>
      <c r="C26" s="103"/>
      <c r="D26" s="103"/>
      <c r="E26" s="545"/>
    </row>
    <row r="27" spans="1:5" s="541" customFormat="1" ht="12" customHeight="1">
      <c r="A27" s="565" t="s">
        <v>323</v>
      </c>
      <c r="B27" s="567" t="s">
        <v>556</v>
      </c>
      <c r="C27" s="420"/>
      <c r="D27" s="420"/>
      <c r="E27" s="544"/>
    </row>
    <row r="28" spans="1:5" s="541" customFormat="1" ht="12" customHeight="1" thickBot="1">
      <c r="A28" s="564" t="s">
        <v>324</v>
      </c>
      <c r="B28" s="568" t="s">
        <v>667</v>
      </c>
      <c r="C28" s="548"/>
      <c r="D28" s="548"/>
      <c r="E28" s="543"/>
    </row>
    <row r="29" spans="1:5" s="541" customFormat="1" ht="12" customHeight="1" thickBot="1">
      <c r="A29" s="551" t="s">
        <v>11</v>
      </c>
      <c r="B29" s="360" t="s">
        <v>557</v>
      </c>
      <c r="C29" s="419">
        <f>SUM(C30:C32)</f>
        <v>0</v>
      </c>
      <c r="D29" s="419">
        <f>SUM(D30:D32)</f>
        <v>0</v>
      </c>
      <c r="E29" s="558">
        <f>SUM(E30:E32)</f>
        <v>0</v>
      </c>
    </row>
    <row r="30" spans="1:5" s="541" customFormat="1" ht="12" customHeight="1">
      <c r="A30" s="565" t="s">
        <v>64</v>
      </c>
      <c r="B30" s="566" t="s">
        <v>341</v>
      </c>
      <c r="C30" s="103"/>
      <c r="D30" s="103"/>
      <c r="E30" s="545"/>
    </row>
    <row r="31" spans="1:5" s="541" customFormat="1" ht="12" customHeight="1">
      <c r="A31" s="565" t="s">
        <v>65</v>
      </c>
      <c r="B31" s="567" t="s">
        <v>342</v>
      </c>
      <c r="C31" s="420"/>
      <c r="D31" s="420"/>
      <c r="E31" s="544"/>
    </row>
    <row r="32" spans="1:5" s="541" customFormat="1" ht="12" customHeight="1" thickBot="1">
      <c r="A32" s="564" t="s">
        <v>66</v>
      </c>
      <c r="B32" s="550" t="s">
        <v>344</v>
      </c>
      <c r="C32" s="548"/>
      <c r="D32" s="548"/>
      <c r="E32" s="543"/>
    </row>
    <row r="33" spans="1:5" s="541" customFormat="1" ht="12" customHeight="1" thickBot="1">
      <c r="A33" s="551" t="s">
        <v>12</v>
      </c>
      <c r="B33" s="360" t="s">
        <v>469</v>
      </c>
      <c r="C33" s="41"/>
      <c r="D33" s="41"/>
      <c r="E33" s="557"/>
    </row>
    <row r="34" spans="1:5" s="514" customFormat="1" ht="12" customHeight="1" thickBot="1">
      <c r="A34" s="551" t="s">
        <v>13</v>
      </c>
      <c r="B34" s="360" t="s">
        <v>558</v>
      </c>
      <c r="C34" s="41"/>
      <c r="D34" s="41"/>
      <c r="E34" s="557"/>
    </row>
    <row r="35" spans="1:5" s="514" customFormat="1" ht="12" customHeight="1" thickBot="1">
      <c r="A35" s="488" t="s">
        <v>14</v>
      </c>
      <c r="B35" s="360" t="s">
        <v>668</v>
      </c>
      <c r="C35" s="419">
        <f>+C8+C19+C24+C25+C29+C33+C34</f>
        <v>368000</v>
      </c>
      <c r="D35" s="419">
        <f>+D8+D19+D24+D25+D29+D33+D34</f>
        <v>759093</v>
      </c>
      <c r="E35" s="558">
        <f>+E8+E19+E24+E25+E29+E33+E34</f>
        <v>356078</v>
      </c>
    </row>
    <row r="36" spans="1:5" s="514" customFormat="1" ht="12" customHeight="1" thickBot="1">
      <c r="A36" s="553" t="s">
        <v>15</v>
      </c>
      <c r="B36" s="360" t="s">
        <v>560</v>
      </c>
      <c r="C36" s="419">
        <f>+C37+C38+C39</f>
        <v>68003000</v>
      </c>
      <c r="D36" s="419">
        <f>+D37+D38+D39</f>
        <v>68507942</v>
      </c>
      <c r="E36" s="558">
        <f>+E37+E38+E39</f>
        <v>60935745</v>
      </c>
    </row>
    <row r="37" spans="1:5" s="514" customFormat="1" ht="12" customHeight="1">
      <c r="A37" s="565" t="s">
        <v>561</v>
      </c>
      <c r="B37" s="566" t="s">
        <v>165</v>
      </c>
      <c r="C37" s="103"/>
      <c r="D37" s="103">
        <v>1302</v>
      </c>
      <c r="E37" s="545">
        <v>1302</v>
      </c>
    </row>
    <row r="38" spans="1:5" s="541" customFormat="1" ht="12" customHeight="1">
      <c r="A38" s="565" t="s">
        <v>562</v>
      </c>
      <c r="B38" s="567" t="s">
        <v>3</v>
      </c>
      <c r="C38" s="420"/>
      <c r="D38" s="420"/>
      <c r="E38" s="544"/>
    </row>
    <row r="39" spans="1:5" s="541" customFormat="1" ht="12" customHeight="1" thickBot="1">
      <c r="A39" s="564" t="s">
        <v>563</v>
      </c>
      <c r="B39" s="550" t="s">
        <v>564</v>
      </c>
      <c r="C39" s="548">
        <v>68003000</v>
      </c>
      <c r="D39" s="548">
        <v>68506640</v>
      </c>
      <c r="E39" s="543">
        <f>78390930-'7.4. sz. mell'!E39</f>
        <v>60934443</v>
      </c>
    </row>
    <row r="40" spans="1:5" s="541" customFormat="1" ht="15" customHeight="1" thickBot="1">
      <c r="A40" s="553" t="s">
        <v>16</v>
      </c>
      <c r="B40" s="554" t="s">
        <v>565</v>
      </c>
      <c r="C40" s="109">
        <f>+C35+C36</f>
        <v>68371000</v>
      </c>
      <c r="D40" s="109">
        <f>+D35+D36</f>
        <v>69267035</v>
      </c>
      <c r="E40" s="559">
        <f>+E35+E36</f>
        <v>61291823</v>
      </c>
    </row>
    <row r="41" spans="1:5" s="541" customFormat="1" ht="15" customHeight="1">
      <c r="A41" s="496"/>
      <c r="B41" s="497"/>
      <c r="C41" s="512"/>
      <c r="D41" s="512"/>
      <c r="E41" s="512"/>
    </row>
    <row r="42" spans="1:5" ht="13.5" thickBot="1">
      <c r="A42" s="498"/>
      <c r="B42" s="499"/>
      <c r="C42" s="513"/>
      <c r="D42" s="513"/>
      <c r="E42" s="513"/>
    </row>
    <row r="43" spans="1:5" s="540" customFormat="1" ht="16.5" customHeight="1" thickBot="1">
      <c r="A43" s="863" t="s">
        <v>43</v>
      </c>
      <c r="B43" s="864"/>
      <c r="C43" s="864"/>
      <c r="D43" s="864"/>
      <c r="E43" s="865"/>
    </row>
    <row r="44" spans="1:5" s="315" customFormat="1" ht="12" customHeight="1" thickBot="1">
      <c r="A44" s="551" t="s">
        <v>7</v>
      </c>
      <c r="B44" s="360" t="s">
        <v>566</v>
      </c>
      <c r="C44" s="419">
        <f>SUM(C45:C49)</f>
        <v>68371000</v>
      </c>
      <c r="D44" s="419">
        <f>SUM(D45:D49)</f>
        <v>68927035</v>
      </c>
      <c r="E44" s="451">
        <f>SUM(E45:E49)</f>
        <v>64235227</v>
      </c>
    </row>
    <row r="45" spans="1:5" ht="12" customHeight="1">
      <c r="A45" s="564" t="s">
        <v>71</v>
      </c>
      <c r="B45" s="341" t="s">
        <v>37</v>
      </c>
      <c r="C45" s="103">
        <v>44980000</v>
      </c>
      <c r="D45" s="103">
        <v>44934477</v>
      </c>
      <c r="E45" s="446">
        <f>56374294-'7.4. sz. mell'!E45</f>
        <v>42337095</v>
      </c>
    </row>
    <row r="46" spans="1:5" ht="12" customHeight="1">
      <c r="A46" s="564" t="s">
        <v>72</v>
      </c>
      <c r="B46" s="340" t="s">
        <v>133</v>
      </c>
      <c r="C46" s="413">
        <v>12492000</v>
      </c>
      <c r="D46" s="413">
        <v>12537523</v>
      </c>
      <c r="E46" s="447">
        <f>15503366-'7.4. sz. mell'!E46</f>
        <v>11705041</v>
      </c>
    </row>
    <row r="47" spans="1:5" ht="12" customHeight="1">
      <c r="A47" s="564" t="s">
        <v>73</v>
      </c>
      <c r="B47" s="340" t="s">
        <v>100</v>
      </c>
      <c r="C47" s="413">
        <v>10899000</v>
      </c>
      <c r="D47" s="413">
        <v>11455035</v>
      </c>
      <c r="E47" s="447">
        <f>10813803-'7.4. sz. mell'!E47</f>
        <v>10193091</v>
      </c>
    </row>
    <row r="48" spans="1:5" ht="12" customHeight="1">
      <c r="A48" s="564" t="s">
        <v>74</v>
      </c>
      <c r="B48" s="340" t="s">
        <v>134</v>
      </c>
      <c r="C48" s="413"/>
      <c r="D48" s="413"/>
      <c r="E48" s="447"/>
    </row>
    <row r="49" spans="1:5" ht="12" customHeight="1" thickBot="1">
      <c r="A49" s="564" t="s">
        <v>107</v>
      </c>
      <c r="B49" s="340" t="s">
        <v>135</v>
      </c>
      <c r="C49" s="413"/>
      <c r="D49" s="413"/>
      <c r="E49" s="447"/>
    </row>
    <row r="50" spans="1:5" ht="12" customHeight="1" thickBot="1">
      <c r="A50" s="551" t="s">
        <v>8</v>
      </c>
      <c r="B50" s="360" t="s">
        <v>567</v>
      </c>
      <c r="C50" s="419">
        <f>SUM(C51:C53)</f>
        <v>0</v>
      </c>
      <c r="D50" s="419">
        <f>SUM(D51:D53)</f>
        <v>340000</v>
      </c>
      <c r="E50" s="451">
        <f>SUM(E51:E53)</f>
        <v>339992</v>
      </c>
    </row>
    <row r="51" spans="1:5" s="315" customFormat="1" ht="12" customHeight="1">
      <c r="A51" s="564" t="s">
        <v>77</v>
      </c>
      <c r="B51" s="341" t="s">
        <v>155</v>
      </c>
      <c r="C51" s="103"/>
      <c r="D51" s="103">
        <v>340000</v>
      </c>
      <c r="E51" s="446">
        <v>339992</v>
      </c>
    </row>
    <row r="52" spans="1:5" ht="12" customHeight="1">
      <c r="A52" s="564" t="s">
        <v>78</v>
      </c>
      <c r="B52" s="340" t="s">
        <v>137</v>
      </c>
      <c r="C52" s="413"/>
      <c r="D52" s="413"/>
      <c r="E52" s="447"/>
    </row>
    <row r="53" spans="1:5" ht="12" customHeight="1">
      <c r="A53" s="564" t="s">
        <v>79</v>
      </c>
      <c r="B53" s="340" t="s">
        <v>44</v>
      </c>
      <c r="C53" s="413"/>
      <c r="D53" s="413"/>
      <c r="E53" s="447"/>
    </row>
    <row r="54" spans="1:5" ht="12" customHeight="1" thickBot="1">
      <c r="A54" s="564" t="s">
        <v>80</v>
      </c>
      <c r="B54" s="340" t="s">
        <v>669</v>
      </c>
      <c r="C54" s="413"/>
      <c r="D54" s="413"/>
      <c r="E54" s="447"/>
    </row>
    <row r="55" spans="1:5" ht="12" customHeight="1" thickBot="1">
      <c r="A55" s="551" t="s">
        <v>9</v>
      </c>
      <c r="B55" s="555" t="s">
        <v>568</v>
      </c>
      <c r="C55" s="419">
        <f>+C44+C50</f>
        <v>68371000</v>
      </c>
      <c r="D55" s="419">
        <f>+D44+D50</f>
        <v>69267035</v>
      </c>
      <c r="E55" s="451">
        <f>+E44+E50</f>
        <v>64575219</v>
      </c>
    </row>
    <row r="56" spans="1:5" ht="13.5" thickBot="1">
      <c r="C56" s="560"/>
      <c r="D56" s="560"/>
      <c r="E56" s="560"/>
    </row>
    <row r="57" spans="1:5" ht="15" customHeight="1" thickBot="1">
      <c r="A57" s="647" t="s">
        <v>729</v>
      </c>
      <c r="B57" s="648"/>
      <c r="C57" s="113"/>
      <c r="D57" s="113"/>
      <c r="E57" s="549">
        <v>16</v>
      </c>
    </row>
    <row r="58" spans="1:5" ht="14.25" customHeight="1" thickBot="1">
      <c r="A58" s="649" t="s">
        <v>728</v>
      </c>
      <c r="B58" s="650"/>
      <c r="C58" s="113"/>
      <c r="D58" s="113"/>
      <c r="E58" s="549"/>
    </row>
  </sheetData>
  <sheetProtection formatCells="0"/>
  <mergeCells count="4">
    <mergeCell ref="B2:D2"/>
    <mergeCell ref="B3:D3"/>
    <mergeCell ref="A7:E7"/>
    <mergeCell ref="A43:E43"/>
  </mergeCells>
  <phoneticPr fontId="27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92D050"/>
  </sheetPr>
  <dimension ref="A1:E58"/>
  <sheetViews>
    <sheetView zoomScaleNormal="100" zoomScaleSheetLayoutView="115" workbookViewId="0">
      <selection activeCell="E2" sqref="E2"/>
    </sheetView>
  </sheetViews>
  <sheetFormatPr defaultRowHeight="12.75"/>
  <cols>
    <col min="1" max="1" width="16" style="556" customWidth="1"/>
    <col min="2" max="2" width="59.33203125" style="32" customWidth="1"/>
    <col min="3" max="5" width="15.83203125" style="32" customWidth="1"/>
    <col min="6" max="16384" width="9.33203125" style="32"/>
  </cols>
  <sheetData>
    <row r="1" spans="1:5" s="491" customFormat="1" ht="21" customHeight="1" thickBot="1">
      <c r="A1" s="490"/>
      <c r="B1" s="492"/>
      <c r="C1" s="537"/>
      <c r="D1" s="537"/>
      <c r="E1" s="630" t="str">
        <f>+CONCATENATE("7.3. melléklet a 15/",LEFT(ÖSSZEFÜGGÉSEK!A4,4)+1,". (V. 30.) önkormányzati rendelethez")</f>
        <v>7.3. melléklet a 15/2017. (V. 30.) önkormányzati rendelethez</v>
      </c>
    </row>
    <row r="2" spans="1:5" s="538" customFormat="1" ht="25.5" customHeight="1">
      <c r="A2" s="518" t="s">
        <v>147</v>
      </c>
      <c r="B2" s="866" t="s">
        <v>732</v>
      </c>
      <c r="C2" s="867"/>
      <c r="D2" s="868"/>
      <c r="E2" s="561" t="s">
        <v>47</v>
      </c>
    </row>
    <row r="3" spans="1:5" s="538" customFormat="1" ht="24.75" thickBot="1">
      <c r="A3" s="536" t="s">
        <v>548</v>
      </c>
      <c r="B3" s="869" t="s">
        <v>670</v>
      </c>
      <c r="C3" s="872"/>
      <c r="D3" s="873"/>
      <c r="E3" s="562" t="s">
        <v>48</v>
      </c>
    </row>
    <row r="4" spans="1:5" s="539" customFormat="1" ht="15.95" customHeight="1" thickBot="1">
      <c r="A4" s="493"/>
      <c r="B4" s="493"/>
      <c r="C4" s="494"/>
      <c r="D4" s="494"/>
      <c r="E4" s="494" t="s">
        <v>769</v>
      </c>
    </row>
    <row r="5" spans="1:5" ht="24.75" thickBot="1">
      <c r="A5" s="325" t="s">
        <v>148</v>
      </c>
      <c r="B5" s="326" t="s">
        <v>727</v>
      </c>
      <c r="C5" s="97" t="s">
        <v>178</v>
      </c>
      <c r="D5" s="97" t="s">
        <v>183</v>
      </c>
      <c r="E5" s="495" t="s">
        <v>184</v>
      </c>
    </row>
    <row r="6" spans="1:5" s="540" customFormat="1" ht="12.95" customHeight="1" thickBot="1">
      <c r="A6" s="488" t="s">
        <v>409</v>
      </c>
      <c r="B6" s="489" t="s">
        <v>410</v>
      </c>
      <c r="C6" s="489" t="s">
        <v>411</v>
      </c>
      <c r="D6" s="112" t="s">
        <v>412</v>
      </c>
      <c r="E6" s="110" t="s">
        <v>413</v>
      </c>
    </row>
    <row r="7" spans="1:5" s="540" customFormat="1" ht="15.95" customHeight="1" thickBot="1">
      <c r="A7" s="863" t="s">
        <v>42</v>
      </c>
      <c r="B7" s="864"/>
      <c r="C7" s="864"/>
      <c r="D7" s="864"/>
      <c r="E7" s="865"/>
    </row>
    <row r="8" spans="1:5" s="514" customFormat="1" ht="12" customHeight="1" thickBot="1">
      <c r="A8" s="488" t="s">
        <v>7</v>
      </c>
      <c r="B8" s="552" t="s">
        <v>549</v>
      </c>
      <c r="C8" s="419">
        <f>SUM(C9:C18)</f>
        <v>0</v>
      </c>
      <c r="D8" s="419">
        <f>SUM(D9:D18)</f>
        <v>0</v>
      </c>
      <c r="E8" s="558">
        <f>SUM(E9:E18)</f>
        <v>0</v>
      </c>
    </row>
    <row r="9" spans="1:5" s="514" customFormat="1" ht="12" customHeight="1">
      <c r="A9" s="563" t="s">
        <v>71</v>
      </c>
      <c r="B9" s="342" t="s">
        <v>328</v>
      </c>
      <c r="C9" s="106"/>
      <c r="D9" s="106"/>
      <c r="E9" s="547"/>
    </row>
    <row r="10" spans="1:5" s="514" customFormat="1" ht="12" customHeight="1">
      <c r="A10" s="564" t="s">
        <v>72</v>
      </c>
      <c r="B10" s="340" t="s">
        <v>329</v>
      </c>
      <c r="C10" s="416"/>
      <c r="D10" s="416"/>
      <c r="E10" s="115"/>
    </row>
    <row r="11" spans="1:5" s="514" customFormat="1" ht="12" customHeight="1">
      <c r="A11" s="564" t="s">
        <v>73</v>
      </c>
      <c r="B11" s="340" t="s">
        <v>330</v>
      </c>
      <c r="C11" s="416"/>
      <c r="D11" s="416"/>
      <c r="E11" s="115"/>
    </row>
    <row r="12" spans="1:5" s="514" customFormat="1" ht="12" customHeight="1">
      <c r="A12" s="564" t="s">
        <v>74</v>
      </c>
      <c r="B12" s="340" t="s">
        <v>331</v>
      </c>
      <c r="C12" s="416"/>
      <c r="D12" s="416"/>
      <c r="E12" s="115"/>
    </row>
    <row r="13" spans="1:5" s="514" customFormat="1" ht="12" customHeight="1">
      <c r="A13" s="564" t="s">
        <v>107</v>
      </c>
      <c r="B13" s="340" t="s">
        <v>332</v>
      </c>
      <c r="C13" s="416"/>
      <c r="D13" s="416"/>
      <c r="E13" s="115"/>
    </row>
    <row r="14" spans="1:5" s="514" customFormat="1" ht="12" customHeight="1">
      <c r="A14" s="564" t="s">
        <v>75</v>
      </c>
      <c r="B14" s="340" t="s">
        <v>550</v>
      </c>
      <c r="C14" s="416"/>
      <c r="D14" s="416"/>
      <c r="E14" s="115"/>
    </row>
    <row r="15" spans="1:5" s="541" customFormat="1" ht="12" customHeight="1">
      <c r="A15" s="564" t="s">
        <v>76</v>
      </c>
      <c r="B15" s="339" t="s">
        <v>551</v>
      </c>
      <c r="C15" s="416"/>
      <c r="D15" s="416"/>
      <c r="E15" s="115"/>
    </row>
    <row r="16" spans="1:5" s="541" customFormat="1" ht="12" customHeight="1">
      <c r="A16" s="564" t="s">
        <v>84</v>
      </c>
      <c r="B16" s="340" t="s">
        <v>335</v>
      </c>
      <c r="C16" s="107"/>
      <c r="D16" s="107"/>
      <c r="E16" s="546"/>
    </row>
    <row r="17" spans="1:5" s="514" customFormat="1" ht="12" customHeight="1">
      <c r="A17" s="564" t="s">
        <v>85</v>
      </c>
      <c r="B17" s="340" t="s">
        <v>337</v>
      </c>
      <c r="C17" s="416"/>
      <c r="D17" s="416"/>
      <c r="E17" s="115"/>
    </row>
    <row r="18" spans="1:5" s="541" customFormat="1" ht="12" customHeight="1" thickBot="1">
      <c r="A18" s="564" t="s">
        <v>86</v>
      </c>
      <c r="B18" s="339" t="s">
        <v>339</v>
      </c>
      <c r="C18" s="418"/>
      <c r="D18" s="418"/>
      <c r="E18" s="542"/>
    </row>
    <row r="19" spans="1:5" s="541" customFormat="1" ht="12" customHeight="1" thickBot="1">
      <c r="A19" s="488" t="s">
        <v>8</v>
      </c>
      <c r="B19" s="552" t="s">
        <v>552</v>
      </c>
      <c r="C19" s="419">
        <f>SUM(C20:C22)</f>
        <v>0</v>
      </c>
      <c r="D19" s="419">
        <f>SUM(D20:D22)</f>
        <v>0</v>
      </c>
      <c r="E19" s="558">
        <f>SUM(E20:E22)</f>
        <v>0</v>
      </c>
    </row>
    <row r="20" spans="1:5" s="541" customFormat="1" ht="12" customHeight="1">
      <c r="A20" s="564" t="s">
        <v>77</v>
      </c>
      <c r="B20" s="341" t="s">
        <v>309</v>
      </c>
      <c r="C20" s="416"/>
      <c r="D20" s="416"/>
      <c r="E20" s="115"/>
    </row>
    <row r="21" spans="1:5" s="541" customFormat="1" ht="12" customHeight="1">
      <c r="A21" s="564" t="s">
        <v>78</v>
      </c>
      <c r="B21" s="340" t="s">
        <v>553</v>
      </c>
      <c r="C21" s="416"/>
      <c r="D21" s="416"/>
      <c r="E21" s="115"/>
    </row>
    <row r="22" spans="1:5" s="541" customFormat="1" ht="12" customHeight="1">
      <c r="A22" s="564" t="s">
        <v>79</v>
      </c>
      <c r="B22" s="340" t="s">
        <v>554</v>
      </c>
      <c r="C22" s="416"/>
      <c r="D22" s="416"/>
      <c r="E22" s="115"/>
    </row>
    <row r="23" spans="1:5" s="541" customFormat="1" ht="12" customHeight="1" thickBot="1">
      <c r="A23" s="564" t="s">
        <v>80</v>
      </c>
      <c r="B23" s="340" t="s">
        <v>666</v>
      </c>
      <c r="C23" s="416"/>
      <c r="D23" s="416"/>
      <c r="E23" s="115"/>
    </row>
    <row r="24" spans="1:5" s="541" customFormat="1" ht="12" customHeight="1" thickBot="1">
      <c r="A24" s="551" t="s">
        <v>9</v>
      </c>
      <c r="B24" s="360" t="s">
        <v>124</v>
      </c>
      <c r="C24" s="41"/>
      <c r="D24" s="41"/>
      <c r="E24" s="557"/>
    </row>
    <row r="25" spans="1:5" s="541" customFormat="1" ht="12" customHeight="1" thickBot="1">
      <c r="A25" s="551" t="s">
        <v>10</v>
      </c>
      <c r="B25" s="360" t="s">
        <v>555</v>
      </c>
      <c r="C25" s="419">
        <f>SUM(C26:C27)</f>
        <v>0</v>
      </c>
      <c r="D25" s="419">
        <f>SUM(D26:D27)</f>
        <v>0</v>
      </c>
      <c r="E25" s="558">
        <f>SUM(E26:E27)</f>
        <v>0</v>
      </c>
    </row>
    <row r="26" spans="1:5" s="541" customFormat="1" ht="12" customHeight="1">
      <c r="A26" s="565" t="s">
        <v>322</v>
      </c>
      <c r="B26" s="566" t="s">
        <v>553</v>
      </c>
      <c r="C26" s="103"/>
      <c r="D26" s="103"/>
      <c r="E26" s="545"/>
    </row>
    <row r="27" spans="1:5" s="541" customFormat="1" ht="12" customHeight="1">
      <c r="A27" s="565" t="s">
        <v>323</v>
      </c>
      <c r="B27" s="567" t="s">
        <v>556</v>
      </c>
      <c r="C27" s="420"/>
      <c r="D27" s="420"/>
      <c r="E27" s="544"/>
    </row>
    <row r="28" spans="1:5" s="541" customFormat="1" ht="12" customHeight="1" thickBot="1">
      <c r="A28" s="564" t="s">
        <v>324</v>
      </c>
      <c r="B28" s="568" t="s">
        <v>667</v>
      </c>
      <c r="C28" s="548"/>
      <c r="D28" s="548"/>
      <c r="E28" s="543"/>
    </row>
    <row r="29" spans="1:5" s="541" customFormat="1" ht="12" customHeight="1" thickBot="1">
      <c r="A29" s="551" t="s">
        <v>11</v>
      </c>
      <c r="B29" s="360" t="s">
        <v>557</v>
      </c>
      <c r="C29" s="419">
        <f>SUM(C30:C32)</f>
        <v>0</v>
      </c>
      <c r="D29" s="419">
        <f>SUM(D30:D32)</f>
        <v>0</v>
      </c>
      <c r="E29" s="558">
        <f>SUM(E30:E32)</f>
        <v>0</v>
      </c>
    </row>
    <row r="30" spans="1:5" s="541" customFormat="1" ht="12" customHeight="1">
      <c r="A30" s="565" t="s">
        <v>64</v>
      </c>
      <c r="B30" s="566" t="s">
        <v>341</v>
      </c>
      <c r="C30" s="103"/>
      <c r="D30" s="103"/>
      <c r="E30" s="545"/>
    </row>
    <row r="31" spans="1:5" s="541" customFormat="1" ht="12" customHeight="1">
      <c r="A31" s="565" t="s">
        <v>65</v>
      </c>
      <c r="B31" s="567" t="s">
        <v>342</v>
      </c>
      <c r="C31" s="420"/>
      <c r="D31" s="420"/>
      <c r="E31" s="544"/>
    </row>
    <row r="32" spans="1:5" s="541" customFormat="1" ht="12" customHeight="1" thickBot="1">
      <c r="A32" s="564" t="s">
        <v>66</v>
      </c>
      <c r="B32" s="550" t="s">
        <v>344</v>
      </c>
      <c r="C32" s="548"/>
      <c r="D32" s="548"/>
      <c r="E32" s="543"/>
    </row>
    <row r="33" spans="1:5" s="541" customFormat="1" ht="12" customHeight="1" thickBot="1">
      <c r="A33" s="551" t="s">
        <v>12</v>
      </c>
      <c r="B33" s="360" t="s">
        <v>469</v>
      </c>
      <c r="C33" s="41"/>
      <c r="D33" s="41"/>
      <c r="E33" s="557"/>
    </row>
    <row r="34" spans="1:5" s="514" customFormat="1" ht="12" customHeight="1" thickBot="1">
      <c r="A34" s="551" t="s">
        <v>13</v>
      </c>
      <c r="B34" s="360" t="s">
        <v>558</v>
      </c>
      <c r="C34" s="41"/>
      <c r="D34" s="41"/>
      <c r="E34" s="557"/>
    </row>
    <row r="35" spans="1:5" s="514" customFormat="1" ht="12" customHeight="1" thickBot="1">
      <c r="A35" s="488" t="s">
        <v>14</v>
      </c>
      <c r="B35" s="360" t="s">
        <v>668</v>
      </c>
      <c r="C35" s="419">
        <f>+C8+C19+C24+C25+C29+C33+C34</f>
        <v>0</v>
      </c>
      <c r="D35" s="419">
        <f>+D8+D19+D24+D25+D29+D33+D34</f>
        <v>0</v>
      </c>
      <c r="E35" s="558">
        <f>+E8+E19+E24+E25+E29+E33+E34</f>
        <v>0</v>
      </c>
    </row>
    <row r="36" spans="1:5" s="514" customFormat="1" ht="12" customHeight="1" thickBot="1">
      <c r="A36" s="553" t="s">
        <v>15</v>
      </c>
      <c r="B36" s="360" t="s">
        <v>560</v>
      </c>
      <c r="C36" s="419">
        <f>+C37+C38+C39</f>
        <v>0</v>
      </c>
      <c r="D36" s="419">
        <f>+D37+D38+D39</f>
        <v>0</v>
      </c>
      <c r="E36" s="558">
        <f>+E37+E38+E39</f>
        <v>0</v>
      </c>
    </row>
    <row r="37" spans="1:5" s="514" customFormat="1" ht="12" customHeight="1">
      <c r="A37" s="565" t="s">
        <v>561</v>
      </c>
      <c r="B37" s="566" t="s">
        <v>165</v>
      </c>
      <c r="C37" s="103"/>
      <c r="D37" s="103"/>
      <c r="E37" s="545"/>
    </row>
    <row r="38" spans="1:5" s="541" customFormat="1" ht="12" customHeight="1">
      <c r="A38" s="565" t="s">
        <v>562</v>
      </c>
      <c r="B38" s="567" t="s">
        <v>3</v>
      </c>
      <c r="C38" s="420"/>
      <c r="D38" s="420"/>
      <c r="E38" s="544"/>
    </row>
    <row r="39" spans="1:5" s="541" customFormat="1" ht="12" customHeight="1" thickBot="1">
      <c r="A39" s="564" t="s">
        <v>563</v>
      </c>
      <c r="B39" s="550" t="s">
        <v>564</v>
      </c>
      <c r="C39" s="548"/>
      <c r="D39" s="548"/>
      <c r="E39" s="543"/>
    </row>
    <row r="40" spans="1:5" s="541" customFormat="1" ht="15" customHeight="1" thickBot="1">
      <c r="A40" s="553" t="s">
        <v>16</v>
      </c>
      <c r="B40" s="554" t="s">
        <v>565</v>
      </c>
      <c r="C40" s="109">
        <f>+C35+C36</f>
        <v>0</v>
      </c>
      <c r="D40" s="109">
        <f>+D35+D36</f>
        <v>0</v>
      </c>
      <c r="E40" s="559">
        <f>+E35+E36</f>
        <v>0</v>
      </c>
    </row>
    <row r="41" spans="1:5" s="541" customFormat="1" ht="15" customHeight="1">
      <c r="A41" s="496"/>
      <c r="B41" s="497"/>
      <c r="C41" s="512"/>
      <c r="D41" s="512"/>
      <c r="E41" s="512"/>
    </row>
    <row r="42" spans="1:5" ht="13.5" thickBot="1">
      <c r="A42" s="498"/>
      <c r="B42" s="499"/>
      <c r="C42" s="513"/>
      <c r="D42" s="513"/>
      <c r="E42" s="513"/>
    </row>
    <row r="43" spans="1:5" s="540" customFormat="1" ht="16.5" customHeight="1" thickBot="1">
      <c r="A43" s="863" t="s">
        <v>43</v>
      </c>
      <c r="B43" s="864"/>
      <c r="C43" s="864"/>
      <c r="D43" s="864"/>
      <c r="E43" s="865"/>
    </row>
    <row r="44" spans="1:5" s="315" customFormat="1" ht="12" customHeight="1" thickBot="1">
      <c r="A44" s="551" t="s">
        <v>7</v>
      </c>
      <c r="B44" s="360" t="s">
        <v>566</v>
      </c>
      <c r="C44" s="419">
        <f>SUM(C45:C49)</f>
        <v>0</v>
      </c>
      <c r="D44" s="419">
        <f>SUM(D45:D49)</f>
        <v>0</v>
      </c>
      <c r="E44" s="451">
        <f>SUM(E45:E49)</f>
        <v>0</v>
      </c>
    </row>
    <row r="45" spans="1:5" ht="12" customHeight="1">
      <c r="A45" s="564" t="s">
        <v>71</v>
      </c>
      <c r="B45" s="341" t="s">
        <v>37</v>
      </c>
      <c r="C45" s="103"/>
      <c r="D45" s="103"/>
      <c r="E45" s="446"/>
    </row>
    <row r="46" spans="1:5" ht="12" customHeight="1">
      <c r="A46" s="564" t="s">
        <v>72</v>
      </c>
      <c r="B46" s="340" t="s">
        <v>133</v>
      </c>
      <c r="C46" s="413"/>
      <c r="D46" s="413"/>
      <c r="E46" s="447"/>
    </row>
    <row r="47" spans="1:5" ht="12" customHeight="1">
      <c r="A47" s="564" t="s">
        <v>73</v>
      </c>
      <c r="B47" s="340" t="s">
        <v>100</v>
      </c>
      <c r="C47" s="413"/>
      <c r="D47" s="413"/>
      <c r="E47" s="447"/>
    </row>
    <row r="48" spans="1:5" ht="12" customHeight="1">
      <c r="A48" s="564" t="s">
        <v>74</v>
      </c>
      <c r="B48" s="340" t="s">
        <v>134</v>
      </c>
      <c r="C48" s="413"/>
      <c r="D48" s="413"/>
      <c r="E48" s="447"/>
    </row>
    <row r="49" spans="1:5" ht="12" customHeight="1" thickBot="1">
      <c r="A49" s="564" t="s">
        <v>107</v>
      </c>
      <c r="B49" s="340" t="s">
        <v>135</v>
      </c>
      <c r="C49" s="413"/>
      <c r="D49" s="413"/>
      <c r="E49" s="447"/>
    </row>
    <row r="50" spans="1:5" ht="12" customHeight="1" thickBot="1">
      <c r="A50" s="551" t="s">
        <v>8</v>
      </c>
      <c r="B50" s="360" t="s">
        <v>567</v>
      </c>
      <c r="C50" s="419">
        <f>SUM(C51:C53)</f>
        <v>0</v>
      </c>
      <c r="D50" s="419">
        <f>SUM(D51:D53)</f>
        <v>0</v>
      </c>
      <c r="E50" s="451">
        <f>SUM(E51:E53)</f>
        <v>0</v>
      </c>
    </row>
    <row r="51" spans="1:5" s="315" customFormat="1" ht="12" customHeight="1">
      <c r="A51" s="564" t="s">
        <v>77</v>
      </c>
      <c r="B51" s="341" t="s">
        <v>155</v>
      </c>
      <c r="C51" s="103"/>
      <c r="D51" s="103"/>
      <c r="E51" s="446"/>
    </row>
    <row r="52" spans="1:5" ht="12" customHeight="1">
      <c r="A52" s="564" t="s">
        <v>78</v>
      </c>
      <c r="B52" s="340" t="s">
        <v>137</v>
      </c>
      <c r="C52" s="413"/>
      <c r="D52" s="413"/>
      <c r="E52" s="447"/>
    </row>
    <row r="53" spans="1:5" ht="12" customHeight="1">
      <c r="A53" s="564" t="s">
        <v>79</v>
      </c>
      <c r="B53" s="340" t="s">
        <v>44</v>
      </c>
      <c r="C53" s="413"/>
      <c r="D53" s="413"/>
      <c r="E53" s="447"/>
    </row>
    <row r="54" spans="1:5" ht="12" customHeight="1" thickBot="1">
      <c r="A54" s="564" t="s">
        <v>80</v>
      </c>
      <c r="B54" s="340" t="s">
        <v>669</v>
      </c>
      <c r="C54" s="413"/>
      <c r="D54" s="413"/>
      <c r="E54" s="447"/>
    </row>
    <row r="55" spans="1:5" ht="12" customHeight="1" thickBot="1">
      <c r="A55" s="551" t="s">
        <v>9</v>
      </c>
      <c r="B55" s="555" t="s">
        <v>568</v>
      </c>
      <c r="C55" s="419">
        <f>+C44+C50</f>
        <v>0</v>
      </c>
      <c r="D55" s="419">
        <f>+D44+D50</f>
        <v>0</v>
      </c>
      <c r="E55" s="451">
        <f>+E44+E50</f>
        <v>0</v>
      </c>
    </row>
    <row r="56" spans="1:5" ht="13.5" thickBot="1">
      <c r="C56" s="560"/>
      <c r="D56" s="560"/>
      <c r="E56" s="560"/>
    </row>
    <row r="57" spans="1:5" ht="15" customHeight="1" thickBot="1">
      <c r="A57" s="647" t="s">
        <v>729</v>
      </c>
      <c r="B57" s="648"/>
      <c r="C57" s="113"/>
      <c r="D57" s="113"/>
      <c r="E57" s="549"/>
    </row>
    <row r="58" spans="1:5" ht="14.25" customHeight="1" thickBot="1">
      <c r="A58" s="649" t="s">
        <v>728</v>
      </c>
      <c r="B58" s="650"/>
      <c r="C58" s="113"/>
      <c r="D58" s="113"/>
      <c r="E58" s="549"/>
    </row>
  </sheetData>
  <sheetProtection formatCells="0"/>
  <mergeCells count="4">
    <mergeCell ref="B2:D2"/>
    <mergeCell ref="B3:D3"/>
    <mergeCell ref="A7:E7"/>
    <mergeCell ref="A43:E43"/>
  </mergeCells>
  <phoneticPr fontId="27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92D050"/>
  </sheetPr>
  <dimension ref="A1:E58"/>
  <sheetViews>
    <sheetView zoomScaleNormal="100" zoomScaleSheetLayoutView="115" workbookViewId="0">
      <selection activeCell="E2" sqref="E2"/>
    </sheetView>
  </sheetViews>
  <sheetFormatPr defaultRowHeight="12.75"/>
  <cols>
    <col min="1" max="1" width="16" style="556" customWidth="1"/>
    <col min="2" max="2" width="59.33203125" style="32" customWidth="1"/>
    <col min="3" max="5" width="15.83203125" style="32" customWidth="1"/>
    <col min="6" max="16384" width="9.33203125" style="32"/>
  </cols>
  <sheetData>
    <row r="1" spans="1:5" s="491" customFormat="1" ht="21" customHeight="1" thickBot="1">
      <c r="A1" s="490"/>
      <c r="B1" s="492"/>
      <c r="C1" s="537"/>
      <c r="D1" s="537"/>
      <c r="E1" s="630" t="str">
        <f>+CONCATENATE("7.4. melléklet a 15/",LEFT(ÖSSZEFÜGGÉSEK!A4,4)+1,". (V. 30.) önkormányzati rendelethez")</f>
        <v>7.4. melléklet a 15/2017. (V. 30.) önkormányzati rendelethez</v>
      </c>
    </row>
    <row r="2" spans="1:5" s="538" customFormat="1" ht="25.5" customHeight="1">
      <c r="A2" s="518" t="s">
        <v>147</v>
      </c>
      <c r="B2" s="866" t="s">
        <v>732</v>
      </c>
      <c r="C2" s="867"/>
      <c r="D2" s="868"/>
      <c r="E2" s="561" t="s">
        <v>47</v>
      </c>
    </row>
    <row r="3" spans="1:5" s="538" customFormat="1" ht="24.75" thickBot="1">
      <c r="A3" s="536" t="s">
        <v>548</v>
      </c>
      <c r="B3" s="869" t="s">
        <v>665</v>
      </c>
      <c r="C3" s="872"/>
      <c r="D3" s="873"/>
      <c r="E3" s="562" t="s">
        <v>49</v>
      </c>
    </row>
    <row r="4" spans="1:5" s="539" customFormat="1" ht="15.95" customHeight="1" thickBot="1">
      <c r="A4" s="493"/>
      <c r="B4" s="493"/>
      <c r="C4" s="494"/>
      <c r="D4" s="494"/>
      <c r="E4" s="494" t="s">
        <v>769</v>
      </c>
    </row>
    <row r="5" spans="1:5" ht="24.75" thickBot="1">
      <c r="A5" s="325" t="s">
        <v>148</v>
      </c>
      <c r="B5" s="326" t="s">
        <v>727</v>
      </c>
      <c r="C5" s="97" t="s">
        <v>178</v>
      </c>
      <c r="D5" s="97" t="s">
        <v>183</v>
      </c>
      <c r="E5" s="495" t="s">
        <v>184</v>
      </c>
    </row>
    <row r="6" spans="1:5" s="540" customFormat="1" ht="12.95" customHeight="1" thickBot="1">
      <c r="A6" s="488" t="s">
        <v>409</v>
      </c>
      <c r="B6" s="489" t="s">
        <v>410</v>
      </c>
      <c r="C6" s="489" t="s">
        <v>411</v>
      </c>
      <c r="D6" s="112" t="s">
        <v>412</v>
      </c>
      <c r="E6" s="110" t="s">
        <v>413</v>
      </c>
    </row>
    <row r="7" spans="1:5" s="540" customFormat="1" ht="15.95" customHeight="1" thickBot="1">
      <c r="A7" s="863" t="s">
        <v>42</v>
      </c>
      <c r="B7" s="864"/>
      <c r="C7" s="864"/>
      <c r="D7" s="864"/>
      <c r="E7" s="865"/>
    </row>
    <row r="8" spans="1:5" s="514" customFormat="1" ht="12" customHeight="1" thickBot="1">
      <c r="A8" s="488" t="s">
        <v>7</v>
      </c>
      <c r="B8" s="552" t="s">
        <v>549</v>
      </c>
      <c r="C8" s="419">
        <f>SUM(C9:C18)</f>
        <v>0</v>
      </c>
      <c r="D8" s="419">
        <f>SUM(D9:D18)</f>
        <v>0</v>
      </c>
      <c r="E8" s="558">
        <f>SUM(E9:E18)</f>
        <v>0</v>
      </c>
    </row>
    <row r="9" spans="1:5" s="514" customFormat="1" ht="12" customHeight="1">
      <c r="A9" s="563" t="s">
        <v>71</v>
      </c>
      <c r="B9" s="342" t="s">
        <v>328</v>
      </c>
      <c r="C9" s="106"/>
      <c r="D9" s="106"/>
      <c r="E9" s="547"/>
    </row>
    <row r="10" spans="1:5" s="514" customFormat="1" ht="12" customHeight="1">
      <c r="A10" s="564" t="s">
        <v>72</v>
      </c>
      <c r="B10" s="340" t="s">
        <v>329</v>
      </c>
      <c r="C10" s="416"/>
      <c r="D10" s="416"/>
      <c r="E10" s="115"/>
    </row>
    <row r="11" spans="1:5" s="514" customFormat="1" ht="12" customHeight="1">
      <c r="A11" s="564" t="s">
        <v>73</v>
      </c>
      <c r="B11" s="340" t="s">
        <v>330</v>
      </c>
      <c r="C11" s="416"/>
      <c r="D11" s="416"/>
      <c r="E11" s="115"/>
    </row>
    <row r="12" spans="1:5" s="514" customFormat="1" ht="12" customHeight="1">
      <c r="A12" s="564" t="s">
        <v>74</v>
      </c>
      <c r="B12" s="340" t="s">
        <v>331</v>
      </c>
      <c r="C12" s="416"/>
      <c r="D12" s="416"/>
      <c r="E12" s="115"/>
    </row>
    <row r="13" spans="1:5" s="514" customFormat="1" ht="12" customHeight="1">
      <c r="A13" s="564" t="s">
        <v>107</v>
      </c>
      <c r="B13" s="340" t="s">
        <v>332</v>
      </c>
      <c r="C13" s="416"/>
      <c r="D13" s="416"/>
      <c r="E13" s="115"/>
    </row>
    <row r="14" spans="1:5" s="514" customFormat="1" ht="12" customHeight="1">
      <c r="A14" s="564" t="s">
        <v>75</v>
      </c>
      <c r="B14" s="340" t="s">
        <v>550</v>
      </c>
      <c r="C14" s="416"/>
      <c r="D14" s="416"/>
      <c r="E14" s="115"/>
    </row>
    <row r="15" spans="1:5" s="541" customFormat="1" ht="12" customHeight="1">
      <c r="A15" s="564" t="s">
        <v>76</v>
      </c>
      <c r="B15" s="339" t="s">
        <v>551</v>
      </c>
      <c r="C15" s="416"/>
      <c r="D15" s="416"/>
      <c r="E15" s="115"/>
    </row>
    <row r="16" spans="1:5" s="541" customFormat="1" ht="12" customHeight="1">
      <c r="A16" s="564" t="s">
        <v>84</v>
      </c>
      <c r="B16" s="340" t="s">
        <v>335</v>
      </c>
      <c r="C16" s="107"/>
      <c r="D16" s="107"/>
      <c r="E16" s="546"/>
    </row>
    <row r="17" spans="1:5" s="514" customFormat="1" ht="12" customHeight="1">
      <c r="A17" s="564" t="s">
        <v>85</v>
      </c>
      <c r="B17" s="340" t="s">
        <v>337</v>
      </c>
      <c r="C17" s="416"/>
      <c r="D17" s="416"/>
      <c r="E17" s="115"/>
    </row>
    <row r="18" spans="1:5" s="541" customFormat="1" ht="12" customHeight="1" thickBot="1">
      <c r="A18" s="564" t="s">
        <v>86</v>
      </c>
      <c r="B18" s="339" t="s">
        <v>339</v>
      </c>
      <c r="C18" s="418"/>
      <c r="D18" s="418"/>
      <c r="E18" s="542"/>
    </row>
    <row r="19" spans="1:5" s="541" customFormat="1" ht="12" customHeight="1" thickBot="1">
      <c r="A19" s="488" t="s">
        <v>8</v>
      </c>
      <c r="B19" s="552" t="s">
        <v>552</v>
      </c>
      <c r="C19" s="419">
        <f>SUM(C20:C22)</f>
        <v>0</v>
      </c>
      <c r="D19" s="419">
        <f>SUM(D20:D22)</f>
        <v>999749</v>
      </c>
      <c r="E19" s="558">
        <f>SUM(E20:E22)</f>
        <v>999749</v>
      </c>
    </row>
    <row r="20" spans="1:5" s="541" customFormat="1" ht="12" customHeight="1">
      <c r="A20" s="564" t="s">
        <v>77</v>
      </c>
      <c r="B20" s="341" t="s">
        <v>309</v>
      </c>
      <c r="C20" s="416"/>
      <c r="D20" s="416"/>
      <c r="E20" s="115"/>
    </row>
    <row r="21" spans="1:5" s="541" customFormat="1" ht="12" customHeight="1">
      <c r="A21" s="564" t="s">
        <v>78</v>
      </c>
      <c r="B21" s="340" t="s">
        <v>553</v>
      </c>
      <c r="C21" s="416"/>
      <c r="D21" s="416"/>
      <c r="E21" s="115"/>
    </row>
    <row r="22" spans="1:5" s="541" customFormat="1" ht="12" customHeight="1">
      <c r="A22" s="564" t="s">
        <v>79</v>
      </c>
      <c r="B22" s="340" t="s">
        <v>554</v>
      </c>
      <c r="C22" s="416"/>
      <c r="D22" s="416">
        <v>999749</v>
      </c>
      <c r="E22" s="115">
        <v>999749</v>
      </c>
    </row>
    <row r="23" spans="1:5" s="541" customFormat="1" ht="12" customHeight="1" thickBot="1">
      <c r="A23" s="564" t="s">
        <v>80</v>
      </c>
      <c r="B23" s="340" t="s">
        <v>666</v>
      </c>
      <c r="C23" s="416"/>
      <c r="D23" s="416"/>
      <c r="E23" s="115"/>
    </row>
    <row r="24" spans="1:5" s="541" customFormat="1" ht="12" customHeight="1" thickBot="1">
      <c r="A24" s="551" t="s">
        <v>9</v>
      </c>
      <c r="B24" s="360" t="s">
        <v>124</v>
      </c>
      <c r="C24" s="41"/>
      <c r="D24" s="41"/>
      <c r="E24" s="557"/>
    </row>
    <row r="25" spans="1:5" s="541" customFormat="1" ht="12" customHeight="1" thickBot="1">
      <c r="A25" s="551" t="s">
        <v>10</v>
      </c>
      <c r="B25" s="360" t="s">
        <v>555</v>
      </c>
      <c r="C25" s="419">
        <f>SUM(C26:C27)</f>
        <v>0</v>
      </c>
      <c r="D25" s="419">
        <f>SUM(D26:D27)</f>
        <v>0</v>
      </c>
      <c r="E25" s="558">
        <f>SUM(E26:E27)</f>
        <v>0</v>
      </c>
    </row>
    <row r="26" spans="1:5" s="541" customFormat="1" ht="12" customHeight="1">
      <c r="A26" s="565" t="s">
        <v>322</v>
      </c>
      <c r="B26" s="566" t="s">
        <v>553</v>
      </c>
      <c r="C26" s="103"/>
      <c r="D26" s="103"/>
      <c r="E26" s="545"/>
    </row>
    <row r="27" spans="1:5" s="541" customFormat="1" ht="12" customHeight="1">
      <c r="A27" s="565" t="s">
        <v>323</v>
      </c>
      <c r="B27" s="567" t="s">
        <v>556</v>
      </c>
      <c r="C27" s="420"/>
      <c r="D27" s="420"/>
      <c r="E27" s="544"/>
    </row>
    <row r="28" spans="1:5" s="541" customFormat="1" ht="12" customHeight="1" thickBot="1">
      <c r="A28" s="564" t="s">
        <v>324</v>
      </c>
      <c r="B28" s="568" t="s">
        <v>667</v>
      </c>
      <c r="C28" s="548"/>
      <c r="D28" s="548"/>
      <c r="E28" s="543"/>
    </row>
    <row r="29" spans="1:5" s="541" customFormat="1" ht="12" customHeight="1" thickBot="1">
      <c r="A29" s="551" t="s">
        <v>11</v>
      </c>
      <c r="B29" s="360" t="s">
        <v>557</v>
      </c>
      <c r="C29" s="419">
        <f>SUM(C30:C32)</f>
        <v>0</v>
      </c>
      <c r="D29" s="419">
        <f>SUM(D30:D32)</f>
        <v>0</v>
      </c>
      <c r="E29" s="558">
        <f>SUM(E30:E32)</f>
        <v>0</v>
      </c>
    </row>
    <row r="30" spans="1:5" s="541" customFormat="1" ht="12" customHeight="1">
      <c r="A30" s="565" t="s">
        <v>64</v>
      </c>
      <c r="B30" s="566" t="s">
        <v>341</v>
      </c>
      <c r="C30" s="103"/>
      <c r="D30" s="103"/>
      <c r="E30" s="545"/>
    </row>
    <row r="31" spans="1:5" s="541" customFormat="1" ht="12" customHeight="1">
      <c r="A31" s="565" t="s">
        <v>65</v>
      </c>
      <c r="B31" s="567" t="s">
        <v>342</v>
      </c>
      <c r="C31" s="420"/>
      <c r="D31" s="420"/>
      <c r="E31" s="544"/>
    </row>
    <row r="32" spans="1:5" s="541" customFormat="1" ht="12" customHeight="1" thickBot="1">
      <c r="A32" s="564" t="s">
        <v>66</v>
      </c>
      <c r="B32" s="550" t="s">
        <v>344</v>
      </c>
      <c r="C32" s="548"/>
      <c r="D32" s="548"/>
      <c r="E32" s="543"/>
    </row>
    <row r="33" spans="1:5" s="541" customFormat="1" ht="12" customHeight="1" thickBot="1">
      <c r="A33" s="551" t="s">
        <v>12</v>
      </c>
      <c r="B33" s="360" t="s">
        <v>469</v>
      </c>
      <c r="C33" s="41"/>
      <c r="D33" s="41"/>
      <c r="E33" s="557"/>
    </row>
    <row r="34" spans="1:5" s="514" customFormat="1" ht="12" customHeight="1" thickBot="1">
      <c r="A34" s="551" t="s">
        <v>13</v>
      </c>
      <c r="B34" s="360" t="s">
        <v>558</v>
      </c>
      <c r="C34" s="41"/>
      <c r="D34" s="41"/>
      <c r="E34" s="557"/>
    </row>
    <row r="35" spans="1:5" s="514" customFormat="1" ht="12" customHeight="1" thickBot="1">
      <c r="A35" s="488" t="s">
        <v>14</v>
      </c>
      <c r="B35" s="360" t="s">
        <v>668</v>
      </c>
      <c r="C35" s="419">
        <f>+C8+C19+C24+C25+C29+C33+C34</f>
        <v>0</v>
      </c>
      <c r="D35" s="419">
        <f>+D8+D19+D24+D25+D29+D33+D34</f>
        <v>999749</v>
      </c>
      <c r="E35" s="558">
        <f>+E8+E19+E24+E25+E29+E33+E34</f>
        <v>999749</v>
      </c>
    </row>
    <row r="36" spans="1:5" s="514" customFormat="1" ht="12" customHeight="1" thickBot="1">
      <c r="A36" s="553" t="s">
        <v>15</v>
      </c>
      <c r="B36" s="360" t="s">
        <v>560</v>
      </c>
      <c r="C36" s="419">
        <f>+C37+C38+C39</f>
        <v>18669000</v>
      </c>
      <c r="D36" s="419">
        <f>+D37+D38+D39</f>
        <v>18665360</v>
      </c>
      <c r="E36" s="558">
        <f>+E37+E38+E39</f>
        <v>17456487</v>
      </c>
    </row>
    <row r="37" spans="1:5" s="514" customFormat="1" ht="12" customHeight="1">
      <c r="A37" s="565" t="s">
        <v>561</v>
      </c>
      <c r="B37" s="566" t="s">
        <v>165</v>
      </c>
      <c r="C37" s="103"/>
      <c r="D37" s="103"/>
      <c r="E37" s="545"/>
    </row>
    <row r="38" spans="1:5" s="541" customFormat="1" ht="12" customHeight="1">
      <c r="A38" s="565" t="s">
        <v>562</v>
      </c>
      <c r="B38" s="567" t="s">
        <v>3</v>
      </c>
      <c r="C38" s="420"/>
      <c r="D38" s="420"/>
      <c r="E38" s="544"/>
    </row>
    <row r="39" spans="1:5" s="541" customFormat="1" ht="12" customHeight="1" thickBot="1">
      <c r="A39" s="564" t="s">
        <v>563</v>
      </c>
      <c r="B39" s="550" t="s">
        <v>564</v>
      </c>
      <c r="C39" s="548">
        <v>18669000</v>
      </c>
      <c r="D39" s="548">
        <v>18665360</v>
      </c>
      <c r="E39" s="543">
        <f>+E55-E35</f>
        <v>17456487</v>
      </c>
    </row>
    <row r="40" spans="1:5" s="541" customFormat="1" ht="15" customHeight="1" thickBot="1">
      <c r="A40" s="553" t="s">
        <v>16</v>
      </c>
      <c r="B40" s="554" t="s">
        <v>565</v>
      </c>
      <c r="C40" s="109">
        <f>+C35+C36</f>
        <v>18669000</v>
      </c>
      <c r="D40" s="109">
        <f>+D35+D36</f>
        <v>19665109</v>
      </c>
      <c r="E40" s="559">
        <f>+E35+E36</f>
        <v>18456236</v>
      </c>
    </row>
    <row r="41" spans="1:5" s="541" customFormat="1" ht="15" customHeight="1">
      <c r="A41" s="496"/>
      <c r="B41" s="497"/>
      <c r="C41" s="512"/>
      <c r="D41" s="512"/>
      <c r="E41" s="512"/>
    </row>
    <row r="42" spans="1:5" ht="13.5" thickBot="1">
      <c r="A42" s="498"/>
      <c r="B42" s="499"/>
      <c r="C42" s="513"/>
      <c r="D42" s="513"/>
      <c r="E42" s="513"/>
    </row>
    <row r="43" spans="1:5" s="540" customFormat="1" ht="16.5" customHeight="1" thickBot="1">
      <c r="A43" s="863" t="s">
        <v>43</v>
      </c>
      <c r="B43" s="864"/>
      <c r="C43" s="864"/>
      <c r="D43" s="864"/>
      <c r="E43" s="865"/>
    </row>
    <row r="44" spans="1:5" s="315" customFormat="1" ht="12" customHeight="1" thickBot="1">
      <c r="A44" s="551" t="s">
        <v>7</v>
      </c>
      <c r="B44" s="360" t="s">
        <v>566</v>
      </c>
      <c r="C44" s="419">
        <f>SUM(C45:C49)</f>
        <v>18669000</v>
      </c>
      <c r="D44" s="419">
        <f>SUM(D45:D49)</f>
        <v>19665109</v>
      </c>
      <c r="E44" s="451">
        <f>SUM(E45:E49)</f>
        <v>18456236</v>
      </c>
    </row>
    <row r="45" spans="1:5" ht="12" customHeight="1">
      <c r="A45" s="564" t="s">
        <v>71</v>
      </c>
      <c r="B45" s="341" t="s">
        <v>37</v>
      </c>
      <c r="C45" s="103">
        <v>14257000</v>
      </c>
      <c r="D45" s="103">
        <v>14900132</v>
      </c>
      <c r="E45" s="446">
        <v>14037199</v>
      </c>
    </row>
    <row r="46" spans="1:5" ht="12" customHeight="1">
      <c r="A46" s="564" t="s">
        <v>72</v>
      </c>
      <c r="B46" s="340" t="s">
        <v>133</v>
      </c>
      <c r="C46" s="413">
        <v>3912000</v>
      </c>
      <c r="D46" s="413">
        <v>4067520</v>
      </c>
      <c r="E46" s="447">
        <v>3798325</v>
      </c>
    </row>
    <row r="47" spans="1:5" ht="12" customHeight="1">
      <c r="A47" s="564" t="s">
        <v>73</v>
      </c>
      <c r="B47" s="340" t="s">
        <v>100</v>
      </c>
      <c r="C47" s="413">
        <v>500000</v>
      </c>
      <c r="D47" s="413">
        <v>697457</v>
      </c>
      <c r="E47" s="447">
        <v>620712</v>
      </c>
    </row>
    <row r="48" spans="1:5" ht="12" customHeight="1">
      <c r="A48" s="564" t="s">
        <v>74</v>
      </c>
      <c r="B48" s="340" t="s">
        <v>134</v>
      </c>
      <c r="C48" s="413"/>
      <c r="D48" s="413"/>
      <c r="E48" s="447"/>
    </row>
    <row r="49" spans="1:5" ht="12" customHeight="1" thickBot="1">
      <c r="A49" s="564" t="s">
        <v>107</v>
      </c>
      <c r="B49" s="340" t="s">
        <v>135</v>
      </c>
      <c r="C49" s="413"/>
      <c r="D49" s="413"/>
      <c r="E49" s="447"/>
    </row>
    <row r="50" spans="1:5" ht="12" customHeight="1" thickBot="1">
      <c r="A50" s="551" t="s">
        <v>8</v>
      </c>
      <c r="B50" s="360" t="s">
        <v>567</v>
      </c>
      <c r="C50" s="419">
        <f>SUM(C51:C53)</f>
        <v>0</v>
      </c>
      <c r="D50" s="419">
        <f>SUM(D51:D53)</f>
        <v>0</v>
      </c>
      <c r="E50" s="451">
        <f>SUM(E51:E53)</f>
        <v>0</v>
      </c>
    </row>
    <row r="51" spans="1:5" s="315" customFormat="1" ht="12" customHeight="1">
      <c r="A51" s="564" t="s">
        <v>77</v>
      </c>
      <c r="B51" s="341" t="s">
        <v>155</v>
      </c>
      <c r="C51" s="103"/>
      <c r="D51" s="103"/>
      <c r="E51" s="446"/>
    </row>
    <row r="52" spans="1:5" ht="12" customHeight="1">
      <c r="A52" s="564" t="s">
        <v>78</v>
      </c>
      <c r="B52" s="340" t="s">
        <v>137</v>
      </c>
      <c r="C52" s="413"/>
      <c r="D52" s="413"/>
      <c r="E52" s="447"/>
    </row>
    <row r="53" spans="1:5" ht="12" customHeight="1">
      <c r="A53" s="564" t="s">
        <v>79</v>
      </c>
      <c r="B53" s="340" t="s">
        <v>44</v>
      </c>
      <c r="C53" s="413"/>
      <c r="D53" s="413"/>
      <c r="E53" s="447"/>
    </row>
    <row r="54" spans="1:5" ht="12" customHeight="1" thickBot="1">
      <c r="A54" s="564" t="s">
        <v>80</v>
      </c>
      <c r="B54" s="340" t="s">
        <v>669</v>
      </c>
      <c r="C54" s="413"/>
      <c r="D54" s="413"/>
      <c r="E54" s="447"/>
    </row>
    <row r="55" spans="1:5" ht="12" customHeight="1" thickBot="1">
      <c r="A55" s="551" t="s">
        <v>9</v>
      </c>
      <c r="B55" s="555" t="s">
        <v>568</v>
      </c>
      <c r="C55" s="419">
        <f>+C44+C50</f>
        <v>18669000</v>
      </c>
      <c r="D55" s="419">
        <f>+D44+D50</f>
        <v>19665109</v>
      </c>
      <c r="E55" s="451">
        <f>+E44+E50</f>
        <v>18456236</v>
      </c>
    </row>
    <row r="56" spans="1:5" ht="13.5" thickBot="1">
      <c r="C56" s="560"/>
      <c r="D56" s="560"/>
      <c r="E56" s="560"/>
    </row>
    <row r="57" spans="1:5" ht="15" customHeight="1" thickBot="1">
      <c r="A57" s="647" t="s">
        <v>729</v>
      </c>
      <c r="B57" s="648"/>
      <c r="C57" s="113"/>
      <c r="D57" s="113"/>
      <c r="E57" s="549">
        <v>5</v>
      </c>
    </row>
    <row r="58" spans="1:5" ht="14.25" customHeight="1" thickBot="1">
      <c r="A58" s="649" t="s">
        <v>728</v>
      </c>
      <c r="B58" s="650"/>
      <c r="C58" s="113"/>
      <c r="D58" s="113"/>
      <c r="E58" s="549"/>
    </row>
  </sheetData>
  <sheetProtection formatCells="0"/>
  <mergeCells count="4">
    <mergeCell ref="B2:D2"/>
    <mergeCell ref="B3:D3"/>
    <mergeCell ref="A7:E7"/>
    <mergeCell ref="A43:E43"/>
  </mergeCells>
  <phoneticPr fontId="27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2">
    <tabColor rgb="FF92D050"/>
  </sheetPr>
  <dimension ref="A1:I161"/>
  <sheetViews>
    <sheetView tabSelected="1" view="pageLayout" zoomScaleNormal="100" zoomScaleSheetLayoutView="100" workbookViewId="0">
      <selection activeCell="E2" sqref="E2"/>
    </sheetView>
  </sheetViews>
  <sheetFormatPr defaultRowHeight="15.75"/>
  <cols>
    <col min="1" max="1" width="9.5" style="381" customWidth="1"/>
    <col min="2" max="2" width="60.83203125" style="381" customWidth="1"/>
    <col min="3" max="5" width="15.83203125" style="382" customWidth="1"/>
    <col min="6" max="16384" width="9.33203125" style="392"/>
  </cols>
  <sheetData>
    <row r="1" spans="1:5" ht="15.95" customHeight="1">
      <c r="A1" s="823" t="s">
        <v>4</v>
      </c>
      <c r="B1" s="823"/>
      <c r="C1" s="823"/>
      <c r="D1" s="823"/>
      <c r="E1" s="823"/>
    </row>
    <row r="2" spans="1:5" ht="15.95" customHeight="1" thickBot="1">
      <c r="A2" s="45" t="s">
        <v>111</v>
      </c>
      <c r="B2" s="45"/>
      <c r="C2" s="379"/>
      <c r="D2" s="379"/>
      <c r="E2" s="379" t="s">
        <v>752</v>
      </c>
    </row>
    <row r="3" spans="1:5" ht="15.95" customHeight="1">
      <c r="A3" s="824" t="s">
        <v>59</v>
      </c>
      <c r="B3" s="826" t="s">
        <v>6</v>
      </c>
      <c r="C3" s="828" t="str">
        <f>+CONCATENATE(LEFT(ÖSSZEFÜGGÉSEK!A4,4),". évi")</f>
        <v>2016. évi</v>
      </c>
      <c r="D3" s="828"/>
      <c r="E3" s="829"/>
    </row>
    <row r="4" spans="1:5" ht="38.1" customHeight="1" thickBot="1">
      <c r="A4" s="825"/>
      <c r="B4" s="827"/>
      <c r="C4" s="47" t="s">
        <v>178</v>
      </c>
      <c r="D4" s="47" t="s">
        <v>183</v>
      </c>
      <c r="E4" s="48" t="s">
        <v>184</v>
      </c>
    </row>
    <row r="5" spans="1:5" s="393" customFormat="1" ht="12" customHeight="1" thickBot="1">
      <c r="A5" s="357" t="s">
        <v>409</v>
      </c>
      <c r="B5" s="358" t="s">
        <v>410</v>
      </c>
      <c r="C5" s="358" t="s">
        <v>411</v>
      </c>
      <c r="D5" s="358" t="s">
        <v>412</v>
      </c>
      <c r="E5" s="404" t="s">
        <v>413</v>
      </c>
    </row>
    <row r="6" spans="1:5" s="394" customFormat="1" ht="12" customHeight="1" thickBot="1">
      <c r="A6" s="352" t="s">
        <v>7</v>
      </c>
      <c r="B6" s="353" t="s">
        <v>301</v>
      </c>
      <c r="C6" s="384">
        <f>SUM(C7:C12)</f>
        <v>840689736</v>
      </c>
      <c r="D6" s="384">
        <f>SUM(D7:D12)</f>
        <v>525964684</v>
      </c>
      <c r="E6" s="378">
        <f>SUM(E7:E12)</f>
        <v>520552427</v>
      </c>
    </row>
    <row r="7" spans="1:5" s="394" customFormat="1" ht="12" customHeight="1">
      <c r="A7" s="347" t="s">
        <v>71</v>
      </c>
      <c r="B7" s="395" t="s">
        <v>302</v>
      </c>
      <c r="C7" s="386">
        <v>165437120</v>
      </c>
      <c r="D7" s="386">
        <v>192926722</v>
      </c>
      <c r="E7" s="338">
        <f>+'6.1. sz. mell'!E9</f>
        <v>192926722</v>
      </c>
    </row>
    <row r="8" spans="1:5" s="394" customFormat="1" ht="12" customHeight="1">
      <c r="A8" s="346" t="s">
        <v>72</v>
      </c>
      <c r="B8" s="396" t="s">
        <v>303</v>
      </c>
      <c r="C8" s="385">
        <v>109277466</v>
      </c>
      <c r="D8" s="385">
        <v>109277466</v>
      </c>
      <c r="E8" s="654">
        <f>+'6.1. sz. mell'!E10</f>
        <v>110520500</v>
      </c>
    </row>
    <row r="9" spans="1:5" s="394" customFormat="1" ht="12" customHeight="1">
      <c r="A9" s="346" t="s">
        <v>73</v>
      </c>
      <c r="B9" s="396" t="s">
        <v>304</v>
      </c>
      <c r="C9" s="385">
        <v>176005244</v>
      </c>
      <c r="D9" s="385">
        <v>175654694</v>
      </c>
      <c r="E9" s="655">
        <f>+'6.1. sz. mell'!E11</f>
        <v>178590993</v>
      </c>
    </row>
    <row r="10" spans="1:5" s="394" customFormat="1" ht="12" customHeight="1">
      <c r="A10" s="346" t="s">
        <v>74</v>
      </c>
      <c r="B10" s="396" t="s">
        <v>305</v>
      </c>
      <c r="C10" s="385">
        <v>8016480</v>
      </c>
      <c r="D10" s="385">
        <v>8016480</v>
      </c>
      <c r="E10" s="655">
        <f>+'6.1. sz. mell'!E12</f>
        <v>8395763</v>
      </c>
    </row>
    <row r="11" spans="1:5" s="394" customFormat="1" ht="12" customHeight="1">
      <c r="A11" s="346" t="s">
        <v>107</v>
      </c>
      <c r="B11" s="396" t="s">
        <v>306</v>
      </c>
      <c r="C11" s="385">
        <f>376281448+5671978</f>
        <v>381953426</v>
      </c>
      <c r="D11" s="385">
        <f>40067891+21431</f>
        <v>40089322</v>
      </c>
      <c r="E11" s="656">
        <f>+'6.1. sz. mell'!E13</f>
        <v>0</v>
      </c>
    </row>
    <row r="12" spans="1:5" s="394" customFormat="1" ht="12" customHeight="1" thickBot="1">
      <c r="A12" s="348" t="s">
        <v>75</v>
      </c>
      <c r="B12" s="397" t="s">
        <v>307</v>
      </c>
      <c r="C12" s="387"/>
      <c r="D12" s="387"/>
      <c r="E12" s="652">
        <f>+'6.1. sz. mell'!E14</f>
        <v>30118449</v>
      </c>
    </row>
    <row r="13" spans="1:5" s="394" customFormat="1" ht="12" customHeight="1" thickBot="1">
      <c r="A13" s="352" t="s">
        <v>8</v>
      </c>
      <c r="B13" s="374" t="s">
        <v>308</v>
      </c>
      <c r="C13" s="384">
        <f>SUM(C14:C18)</f>
        <v>0</v>
      </c>
      <c r="D13" s="384">
        <f>SUM(D14:D18)</f>
        <v>364394401</v>
      </c>
      <c r="E13" s="378">
        <f>SUM(E14:E18)</f>
        <v>401092253</v>
      </c>
    </row>
    <row r="14" spans="1:5" s="394" customFormat="1" ht="12" customHeight="1">
      <c r="A14" s="347" t="s">
        <v>77</v>
      </c>
      <c r="B14" s="395" t="s">
        <v>309</v>
      </c>
      <c r="C14" s="386"/>
      <c r="D14" s="386"/>
      <c r="E14" s="338">
        <f>+'6.1. sz. mell'!E16+'7.1. sz. mell'!E20+'8.1. sz. mell.'!E20+'8.2. sz. mell.'!E20+'8.3. sz. mell.'!E20</f>
        <v>0</v>
      </c>
    </row>
    <row r="15" spans="1:5" s="394" customFormat="1" ht="12" customHeight="1">
      <c r="A15" s="346" t="s">
        <v>78</v>
      </c>
      <c r="B15" s="396" t="s">
        <v>310</v>
      </c>
      <c r="C15" s="385"/>
      <c r="D15" s="385"/>
      <c r="E15" s="655">
        <f>+'6.1. sz. mell'!E17+'7.1. sz. mell'!E21+'8.1. sz. mell.'!E21+'8.2. sz. mell.'!E21+'8.3. sz. mell.'!E21</f>
        <v>0</v>
      </c>
    </row>
    <row r="16" spans="1:5" s="394" customFormat="1" ht="12" customHeight="1">
      <c r="A16" s="346" t="s">
        <v>79</v>
      </c>
      <c r="B16" s="396" t="s">
        <v>311</v>
      </c>
      <c r="C16" s="385"/>
      <c r="D16" s="385"/>
      <c r="E16" s="657">
        <f>+'1.2.sz.mell.'!E79+'1.3.sz.mell.'!E16+'1.4.sz.mell.'!E16</f>
        <v>0</v>
      </c>
    </row>
    <row r="17" spans="1:5" s="394" customFormat="1" ht="12" customHeight="1">
      <c r="A17" s="346" t="s">
        <v>80</v>
      </c>
      <c r="B17" s="396" t="s">
        <v>312</v>
      </c>
      <c r="C17" s="385"/>
      <c r="D17" s="385"/>
      <c r="E17" s="655">
        <f>+'1.2.sz.mell.'!E80+'1.3.sz.mell.'!E17+'1.4.sz.mell.'!E17</f>
        <v>0</v>
      </c>
    </row>
    <row r="18" spans="1:5" s="394" customFormat="1" ht="12" customHeight="1">
      <c r="A18" s="346" t="s">
        <v>81</v>
      </c>
      <c r="B18" s="396" t="s">
        <v>313</v>
      </c>
      <c r="C18" s="385"/>
      <c r="D18" s="385">
        <v>364394401</v>
      </c>
      <c r="E18" s="655">
        <f>+'6.1. sz. mell'!E20+'7.1. sz. mell'!E22+'8.1. sz. mell.'!E22+'8.2. sz. mell.'!E22+'8.3. sz. mell.'!E22</f>
        <v>401092253</v>
      </c>
    </row>
    <row r="19" spans="1:5" s="394" customFormat="1" ht="12" customHeight="1" thickBot="1">
      <c r="A19" s="348" t="s">
        <v>88</v>
      </c>
      <c r="B19" s="397" t="s">
        <v>314</v>
      </c>
      <c r="C19" s="387"/>
      <c r="D19" s="387"/>
      <c r="E19" s="652">
        <f>+'1.2.sz.mell.'!E82+'1.3.sz.mell.'!E19+'1.4.sz.mell.'!E19</f>
        <v>0</v>
      </c>
    </row>
    <row r="20" spans="1:5" s="394" customFormat="1" ht="12" customHeight="1" thickBot="1">
      <c r="A20" s="352" t="s">
        <v>9</v>
      </c>
      <c r="B20" s="353" t="s">
        <v>315</v>
      </c>
      <c r="C20" s="384">
        <f>SUM(C21:C25)</f>
        <v>0</v>
      </c>
      <c r="D20" s="384">
        <f>SUM(D21:D25)</f>
        <v>25271550</v>
      </c>
      <c r="E20" s="378">
        <f>SUM(E21:E25)</f>
        <v>54062786</v>
      </c>
    </row>
    <row r="21" spans="1:5" s="394" customFormat="1" ht="12" customHeight="1">
      <c r="A21" s="347" t="s">
        <v>60</v>
      </c>
      <c r="B21" s="395" t="s">
        <v>316</v>
      </c>
      <c r="C21" s="386"/>
      <c r="D21" s="386">
        <v>15229000</v>
      </c>
      <c r="E21" s="338">
        <f>+'6.1. sz. mell'!E23</f>
        <v>15229000</v>
      </c>
    </row>
    <row r="22" spans="1:5" s="394" customFormat="1" ht="12" customHeight="1">
      <c r="A22" s="346" t="s">
        <v>61</v>
      </c>
      <c r="B22" s="396" t="s">
        <v>317</v>
      </c>
      <c r="C22" s="385"/>
      <c r="D22" s="385"/>
      <c r="E22" s="655">
        <f>+'6.1. sz. mell'!E24</f>
        <v>0</v>
      </c>
    </row>
    <row r="23" spans="1:5" s="394" customFormat="1" ht="12" customHeight="1">
      <c r="A23" s="346" t="s">
        <v>62</v>
      </c>
      <c r="B23" s="396" t="s">
        <v>318</v>
      </c>
      <c r="C23" s="385"/>
      <c r="D23" s="385"/>
      <c r="E23" s="657">
        <f>+'6.1. sz. mell'!E25</f>
        <v>0</v>
      </c>
    </row>
    <row r="24" spans="1:5" s="394" customFormat="1" ht="12" customHeight="1">
      <c r="A24" s="346" t="s">
        <v>63</v>
      </c>
      <c r="B24" s="396" t="s">
        <v>319</v>
      </c>
      <c r="C24" s="385"/>
      <c r="D24" s="385"/>
      <c r="E24" s="655">
        <f>+'6.1. sz. mell'!E26</f>
        <v>0</v>
      </c>
    </row>
    <row r="25" spans="1:5" s="394" customFormat="1" ht="12" customHeight="1">
      <c r="A25" s="346" t="s">
        <v>121</v>
      </c>
      <c r="B25" s="396" t="s">
        <v>320</v>
      </c>
      <c r="C25" s="385"/>
      <c r="D25" s="385">
        <v>10042550</v>
      </c>
      <c r="E25" s="655">
        <f>+'6.1. sz. mell'!E27</f>
        <v>38833786</v>
      </c>
    </row>
    <row r="26" spans="1:5" s="394" customFormat="1" ht="12" customHeight="1" thickBot="1">
      <c r="A26" s="348" t="s">
        <v>122</v>
      </c>
      <c r="B26" s="376" t="s">
        <v>321</v>
      </c>
      <c r="C26" s="387"/>
      <c r="D26" s="387"/>
      <c r="E26" s="657">
        <f>+'6.1. sz. mell'!E28</f>
        <v>0</v>
      </c>
    </row>
    <row r="27" spans="1:5" s="394" customFormat="1" ht="12" customHeight="1" thickBot="1">
      <c r="A27" s="352" t="s">
        <v>123</v>
      </c>
      <c r="B27" s="353" t="s">
        <v>718</v>
      </c>
      <c r="C27" s="390">
        <f>SUM(C28:C33)+50000</f>
        <v>96590000</v>
      </c>
      <c r="D27" s="390">
        <f>SUM(D28:D33)</f>
        <v>96557962</v>
      </c>
      <c r="E27" s="508">
        <f>SUM(E28:E33)+'7.1. sz. mell'!E24</f>
        <v>103838443</v>
      </c>
    </row>
    <row r="28" spans="1:5" s="394" customFormat="1" ht="12" customHeight="1">
      <c r="A28" s="347" t="s">
        <v>322</v>
      </c>
      <c r="B28" s="395" t="s">
        <v>722</v>
      </c>
      <c r="C28" s="386"/>
      <c r="D28" s="386"/>
      <c r="E28" s="338"/>
    </row>
    <row r="29" spans="1:5" s="394" customFormat="1" ht="12" customHeight="1">
      <c r="A29" s="346" t="s">
        <v>323</v>
      </c>
      <c r="B29" s="396" t="s">
        <v>723</v>
      </c>
      <c r="C29" s="385"/>
      <c r="D29" s="385"/>
      <c r="E29" s="655"/>
    </row>
    <row r="30" spans="1:5" s="394" customFormat="1" ht="12" customHeight="1">
      <c r="A30" s="346" t="s">
        <v>324</v>
      </c>
      <c r="B30" s="396" t="s">
        <v>724</v>
      </c>
      <c r="C30" s="385">
        <v>67800000</v>
      </c>
      <c r="D30" s="385">
        <v>67800000</v>
      </c>
      <c r="E30" s="655">
        <f>+'6.1. sz. mell'!E32</f>
        <v>72857761</v>
      </c>
    </row>
    <row r="31" spans="1:5" s="394" customFormat="1" ht="12" customHeight="1">
      <c r="A31" s="346" t="s">
        <v>737</v>
      </c>
      <c r="B31" s="396" t="s">
        <v>725</v>
      </c>
      <c r="C31" s="385">
        <v>40000</v>
      </c>
      <c r="D31" s="385">
        <v>40000</v>
      </c>
      <c r="E31" s="655">
        <f>+'6.1. sz. mell'!E33</f>
        <v>25200</v>
      </c>
    </row>
    <row r="32" spans="1:5" s="394" customFormat="1" ht="12" customHeight="1">
      <c r="A32" s="346" t="s">
        <v>719</v>
      </c>
      <c r="B32" s="396" t="s">
        <v>736</v>
      </c>
      <c r="C32" s="385">
        <v>13500000</v>
      </c>
      <c r="D32" s="385">
        <v>13500000</v>
      </c>
      <c r="E32" s="655">
        <f>+'6.1. sz. mell'!E34</f>
        <v>13426610</v>
      </c>
    </row>
    <row r="33" spans="1:5" s="394" customFormat="1" ht="12" customHeight="1" thickBot="1">
      <c r="A33" s="348" t="s">
        <v>721</v>
      </c>
      <c r="B33" s="376" t="s">
        <v>326</v>
      </c>
      <c r="C33" s="387">
        <v>15200000</v>
      </c>
      <c r="D33" s="387">
        <v>15217962</v>
      </c>
      <c r="E33" s="657">
        <f>+'6.1. sz. mell'!E35</f>
        <v>17510910</v>
      </c>
    </row>
    <row r="34" spans="1:5" s="394" customFormat="1" ht="12" customHeight="1" thickBot="1">
      <c r="A34" s="352" t="s">
        <v>11</v>
      </c>
      <c r="B34" s="353" t="s">
        <v>327</v>
      </c>
      <c r="C34" s="384">
        <f>SUM(C35:C44)</f>
        <v>109368100</v>
      </c>
      <c r="D34" s="384">
        <f>SUM(D35:D44)</f>
        <v>128782621</v>
      </c>
      <c r="E34" s="367">
        <f>SUM(E35:E44)</f>
        <v>133254708</v>
      </c>
    </row>
    <row r="35" spans="1:5" s="394" customFormat="1" ht="12" customHeight="1">
      <c r="A35" s="347" t="s">
        <v>64</v>
      </c>
      <c r="B35" s="395" t="s">
        <v>328</v>
      </c>
      <c r="C35" s="386">
        <v>7796000</v>
      </c>
      <c r="D35" s="386">
        <v>15820000</v>
      </c>
      <c r="E35" s="338">
        <f>+'6.1. sz. mell'!E37+'7.1. sz. mell'!E9+'8.1. sz. mell.'!E9+'8.2. sz. mell.'!E9+'8.3. sz. mell.'!E9</f>
        <v>9371376</v>
      </c>
    </row>
    <row r="36" spans="1:5" s="394" customFormat="1" ht="12" customHeight="1">
      <c r="A36" s="346" t="s">
        <v>65</v>
      </c>
      <c r="B36" s="396" t="s">
        <v>329</v>
      </c>
      <c r="C36" s="385">
        <v>65696100</v>
      </c>
      <c r="D36" s="385">
        <v>43654324</v>
      </c>
      <c r="E36" s="655">
        <f>+'6.1. sz. mell'!E38+'7.1. sz. mell'!E10+'8.1. sz. mell.'!E10+'8.2. sz. mell.'!E10+'8.3. sz. mell.'!E10</f>
        <v>49507494</v>
      </c>
    </row>
    <row r="37" spans="1:5" s="394" customFormat="1" ht="12" customHeight="1">
      <c r="A37" s="346" t="s">
        <v>66</v>
      </c>
      <c r="B37" s="396" t="s">
        <v>330</v>
      </c>
      <c r="C37" s="385">
        <v>2333000</v>
      </c>
      <c r="D37" s="385">
        <v>1890000</v>
      </c>
      <c r="E37" s="655">
        <f>+'6.1. sz. mell'!E39+'7.1. sz. mell'!E11+'8.1. sz. mell.'!E11+'8.2. sz. mell.'!E11+'8.3. sz. mell.'!E11</f>
        <v>1765623</v>
      </c>
    </row>
    <row r="38" spans="1:5" s="394" customFormat="1" ht="12" customHeight="1">
      <c r="A38" s="346" t="s">
        <v>125</v>
      </c>
      <c r="B38" s="396" t="s">
        <v>331</v>
      </c>
      <c r="C38" s="385">
        <v>3500000</v>
      </c>
      <c r="D38" s="385">
        <v>3500000</v>
      </c>
      <c r="E38" s="657">
        <f>+'6.1. sz. mell'!E40+'7.1. sz. mell'!E12+'8.1. sz. mell.'!E12+'8.2. sz. mell.'!E12+'8.3. sz. mell.'!E12</f>
        <v>0</v>
      </c>
    </row>
    <row r="39" spans="1:5" s="394" customFormat="1" ht="12" customHeight="1">
      <c r="A39" s="346" t="s">
        <v>126</v>
      </c>
      <c r="B39" s="396" t="s">
        <v>332</v>
      </c>
      <c r="C39" s="385">
        <v>4868000</v>
      </c>
      <c r="D39" s="385">
        <v>32226000</v>
      </c>
      <c r="E39" s="655">
        <f>+'6.1. sz. mell'!E41+'7.1. sz. mell'!E13+'8.1. sz. mell.'!E13+'8.2. sz. mell.'!E13+'8.3. sz. mell.'!E13</f>
        <v>31941187</v>
      </c>
    </row>
    <row r="40" spans="1:5" s="394" customFormat="1" ht="12" customHeight="1">
      <c r="A40" s="346" t="s">
        <v>127</v>
      </c>
      <c r="B40" s="396" t="s">
        <v>333</v>
      </c>
      <c r="C40" s="385">
        <v>22175000</v>
      </c>
      <c r="D40" s="385">
        <v>28742571</v>
      </c>
      <c r="E40" s="655">
        <f>+'6.1. sz. mell'!E42+'7.1. sz. mell'!E14+'8.1. sz. mell.'!E14+'8.2. sz. mell.'!E14+'8.3. sz. mell.'!E14</f>
        <v>24346024</v>
      </c>
    </row>
    <row r="41" spans="1:5" s="394" customFormat="1" ht="12" customHeight="1">
      <c r="A41" s="346" t="s">
        <v>128</v>
      </c>
      <c r="B41" s="396" t="s">
        <v>334</v>
      </c>
      <c r="C41" s="385">
        <v>3000000</v>
      </c>
      <c r="D41" s="385">
        <v>2775000</v>
      </c>
      <c r="E41" s="655">
        <f>+'6.1. sz. mell'!E43+'7.1. sz. mell'!E15+'8.1. sz. mell.'!E15+'8.2. sz. mell.'!E15+'8.3. sz. mell.'!E15</f>
        <v>2775000</v>
      </c>
    </row>
    <row r="42" spans="1:5" s="394" customFormat="1" ht="12" customHeight="1">
      <c r="A42" s="346" t="s">
        <v>129</v>
      </c>
      <c r="B42" s="396" t="s">
        <v>335</v>
      </c>
      <c r="C42" s="385"/>
      <c r="D42" s="385">
        <v>310</v>
      </c>
      <c r="E42" s="655">
        <f>+'6.1. sz. mell'!E44+'7.1. sz. mell'!E16+'8.1. sz. mell.'!E16+'8.2. sz. mell.'!E16+'8.3. sz. mell.'!E16</f>
        <v>9630</v>
      </c>
    </row>
    <row r="43" spans="1:5" s="394" customFormat="1" ht="12" customHeight="1">
      <c r="A43" s="346" t="s">
        <v>336</v>
      </c>
      <c r="B43" s="396" t="s">
        <v>337</v>
      </c>
      <c r="C43" s="388"/>
      <c r="D43" s="388"/>
      <c r="E43" s="655">
        <f>+'6.1. sz. mell'!E45+'7.1. sz. mell'!E17+'8.1. sz. mell.'!E17+'8.2. sz. mell.'!E17+'8.3. sz. mell.'!E17</f>
        <v>0</v>
      </c>
    </row>
    <row r="44" spans="1:5" s="394" customFormat="1" ht="12" customHeight="1" thickBot="1">
      <c r="A44" s="348" t="s">
        <v>338</v>
      </c>
      <c r="B44" s="397" t="s">
        <v>339</v>
      </c>
      <c r="C44" s="389"/>
      <c r="D44" s="389">
        <v>174416</v>
      </c>
      <c r="E44" s="657">
        <f>+'6.1. sz. mell'!E46+'7.1. sz. mell'!E18+'8.1. sz. mell.'!E18+'8.2. sz. mell.'!E18+'8.3. sz. mell.'!E18</f>
        <v>13538374</v>
      </c>
    </row>
    <row r="45" spans="1:5" s="394" customFormat="1" ht="12" customHeight="1" thickBot="1">
      <c r="A45" s="352" t="s">
        <v>12</v>
      </c>
      <c r="B45" s="353" t="s">
        <v>340</v>
      </c>
      <c r="C45" s="384">
        <f>SUM(C46:C50)</f>
        <v>12712000</v>
      </c>
      <c r="D45" s="384">
        <f>SUM(D46:D50)</f>
        <v>36474062</v>
      </c>
      <c r="E45" s="367">
        <f>SUM(E46:E50)</f>
        <v>29621577</v>
      </c>
    </row>
    <row r="46" spans="1:5" s="394" customFormat="1" ht="12" customHeight="1">
      <c r="A46" s="347" t="s">
        <v>67</v>
      </c>
      <c r="B46" s="395" t="s">
        <v>341</v>
      </c>
      <c r="C46" s="405"/>
      <c r="D46" s="405"/>
      <c r="E46" s="338"/>
    </row>
    <row r="47" spans="1:5" s="394" customFormat="1" ht="12" customHeight="1">
      <c r="A47" s="346" t="s">
        <v>68</v>
      </c>
      <c r="B47" s="396" t="s">
        <v>342</v>
      </c>
      <c r="C47" s="388">
        <v>10712000</v>
      </c>
      <c r="D47" s="388">
        <v>32978000</v>
      </c>
      <c r="E47" s="655">
        <f>+'6.1. sz. mell'!E49</f>
        <v>28120916</v>
      </c>
    </row>
    <row r="48" spans="1:5" s="394" customFormat="1" ht="12" customHeight="1">
      <c r="A48" s="346" t="s">
        <v>343</v>
      </c>
      <c r="B48" s="396" t="s">
        <v>344</v>
      </c>
      <c r="C48" s="388">
        <v>2000000</v>
      </c>
      <c r="D48" s="388">
        <v>3496062</v>
      </c>
      <c r="E48" s="655">
        <f>+'6.1. sz. mell'!E50+'7.1. sz. mell'!E32+'8.1. sz. mell.'!E32+'8.2. sz. mell.'!E32+'8.3. sz. mell.'!E32</f>
        <v>1500661</v>
      </c>
    </row>
    <row r="49" spans="1:5" s="394" customFormat="1" ht="12" customHeight="1">
      <c r="A49" s="346" t="s">
        <v>345</v>
      </c>
      <c r="B49" s="396" t="s">
        <v>346</v>
      </c>
      <c r="C49" s="388"/>
      <c r="D49" s="388"/>
      <c r="E49" s="655"/>
    </row>
    <row r="50" spans="1:5" s="394" customFormat="1" ht="12" customHeight="1" thickBot="1">
      <c r="A50" s="348" t="s">
        <v>347</v>
      </c>
      <c r="B50" s="397" t="s">
        <v>348</v>
      </c>
      <c r="C50" s="389"/>
      <c r="D50" s="389"/>
      <c r="E50" s="652"/>
    </row>
    <row r="51" spans="1:5" s="394" customFormat="1" ht="17.25" customHeight="1" thickBot="1">
      <c r="A51" s="352" t="s">
        <v>130</v>
      </c>
      <c r="B51" s="353" t="s">
        <v>349</v>
      </c>
      <c r="C51" s="384">
        <f>SUM(C52:C54)</f>
        <v>0</v>
      </c>
      <c r="D51" s="384">
        <f>SUM(D52:D54)</f>
        <v>0</v>
      </c>
      <c r="E51" s="367"/>
    </row>
    <row r="52" spans="1:5" s="394" customFormat="1" ht="12" customHeight="1">
      <c r="A52" s="347" t="s">
        <v>69</v>
      </c>
      <c r="B52" s="395" t="s">
        <v>350</v>
      </c>
      <c r="C52" s="386"/>
      <c r="D52" s="386"/>
      <c r="E52" s="653"/>
    </row>
    <row r="53" spans="1:5" s="394" customFormat="1" ht="12" customHeight="1">
      <c r="A53" s="346" t="s">
        <v>70</v>
      </c>
      <c r="B53" s="396" t="s">
        <v>351</v>
      </c>
      <c r="C53" s="385"/>
      <c r="D53" s="385"/>
      <c r="E53" s="656"/>
    </row>
    <row r="54" spans="1:5" s="394" customFormat="1" ht="12" customHeight="1">
      <c r="A54" s="346" t="s">
        <v>352</v>
      </c>
      <c r="B54" s="396" t="s">
        <v>353</v>
      </c>
      <c r="C54" s="385"/>
      <c r="D54" s="385"/>
      <c r="E54" s="656"/>
    </row>
    <row r="55" spans="1:5" s="394" customFormat="1" ht="12" customHeight="1" thickBot="1">
      <c r="A55" s="348" t="s">
        <v>354</v>
      </c>
      <c r="B55" s="397" t="s">
        <v>355</v>
      </c>
      <c r="C55" s="387"/>
      <c r="D55" s="387"/>
      <c r="E55" s="652"/>
    </row>
    <row r="56" spans="1:5" s="394" customFormat="1" ht="12" customHeight="1" thickBot="1">
      <c r="A56" s="352" t="s">
        <v>14</v>
      </c>
      <c r="B56" s="374" t="s">
        <v>356</v>
      </c>
      <c r="C56" s="384">
        <f>SUM(C57:C59)</f>
        <v>17810000</v>
      </c>
      <c r="D56" s="384">
        <f>SUM(D57:D59)</f>
        <v>17810000</v>
      </c>
      <c r="E56" s="367">
        <f>SUM(E57:E60)</f>
        <v>3030600</v>
      </c>
    </row>
    <row r="57" spans="1:5" s="394" customFormat="1" ht="12" customHeight="1">
      <c r="A57" s="347" t="s">
        <v>131</v>
      </c>
      <c r="B57" s="395" t="s">
        <v>357</v>
      </c>
      <c r="C57" s="388"/>
      <c r="D57" s="388"/>
      <c r="E57" s="653"/>
    </row>
    <row r="58" spans="1:5" s="394" customFormat="1" ht="27.75" customHeight="1">
      <c r="A58" s="346" t="s">
        <v>132</v>
      </c>
      <c r="B58" s="396" t="s">
        <v>358</v>
      </c>
      <c r="C58" s="388">
        <v>810000</v>
      </c>
      <c r="D58" s="388">
        <v>810000</v>
      </c>
      <c r="E58" s="656"/>
    </row>
    <row r="59" spans="1:5" s="394" customFormat="1" ht="12" customHeight="1">
      <c r="A59" s="346" t="s">
        <v>157</v>
      </c>
      <c r="B59" s="396" t="s">
        <v>359</v>
      </c>
      <c r="C59" s="388">
        <v>17000000</v>
      </c>
      <c r="D59" s="388">
        <v>17000000</v>
      </c>
      <c r="E59" s="656">
        <f>+'6.1. sz. mell'!E61</f>
        <v>3030600</v>
      </c>
    </row>
    <row r="60" spans="1:5" s="394" customFormat="1" ht="12" customHeight="1" thickBot="1">
      <c r="A60" s="348" t="s">
        <v>360</v>
      </c>
      <c r="B60" s="397" t="s">
        <v>361</v>
      </c>
      <c r="C60" s="388"/>
      <c r="D60" s="388"/>
      <c r="E60" s="652"/>
    </row>
    <row r="61" spans="1:5" s="394" customFormat="1" ht="12" customHeight="1" thickBot="1">
      <c r="A61" s="352" t="s">
        <v>15</v>
      </c>
      <c r="B61" s="353" t="s">
        <v>362</v>
      </c>
      <c r="C61" s="390">
        <f>+C6+C13+C20+C27+C34+C45+C51+C56</f>
        <v>1077169836</v>
      </c>
      <c r="D61" s="390">
        <f>+D6+D13+D20+D27+D34+D45+D51+D56</f>
        <v>1195255280</v>
      </c>
      <c r="E61" s="508">
        <f>+E6+E13+E20+E27+E34+E45+E51+E56</f>
        <v>1245452794</v>
      </c>
    </row>
    <row r="62" spans="1:5" s="394" customFormat="1" ht="12" customHeight="1" thickBot="1">
      <c r="A62" s="406" t="s">
        <v>363</v>
      </c>
      <c r="B62" s="374" t="s">
        <v>364</v>
      </c>
      <c r="C62" s="384">
        <f>+C63+C64+C65</f>
        <v>45359000</v>
      </c>
      <c r="D62" s="384">
        <f>+D63+D64+D65</f>
        <v>20000000</v>
      </c>
      <c r="E62" s="367"/>
    </row>
    <row r="63" spans="1:5" s="394" customFormat="1" ht="12" customHeight="1">
      <c r="A63" s="347" t="s">
        <v>365</v>
      </c>
      <c r="B63" s="395" t="s">
        <v>366</v>
      </c>
      <c r="C63" s="388">
        <v>45359000</v>
      </c>
      <c r="D63" s="388">
        <v>20000000</v>
      </c>
      <c r="E63" s="338"/>
    </row>
    <row r="64" spans="1:5" s="394" customFormat="1" ht="12" customHeight="1">
      <c r="A64" s="346" t="s">
        <v>367</v>
      </c>
      <c r="B64" s="396" t="s">
        <v>368</v>
      </c>
      <c r="C64" s="388"/>
      <c r="D64" s="388"/>
      <c r="E64" s="655"/>
    </row>
    <row r="65" spans="1:5" s="394" customFormat="1" ht="12" customHeight="1" thickBot="1">
      <c r="A65" s="348" t="s">
        <v>369</v>
      </c>
      <c r="B65" s="332" t="s">
        <v>414</v>
      </c>
      <c r="C65" s="388"/>
      <c r="D65" s="388"/>
      <c r="E65" s="652">
        <f>+'1.2.sz.mell.'!E128+'1.3.sz.mell.'!E65+'1.4.sz.mell.'!E65</f>
        <v>0</v>
      </c>
    </row>
    <row r="66" spans="1:5" s="394" customFormat="1" ht="12" customHeight="1" thickBot="1">
      <c r="A66" s="406" t="s">
        <v>371</v>
      </c>
      <c r="B66" s="374" t="s">
        <v>372</v>
      </c>
      <c r="C66" s="384">
        <f>+C67+C68+C69+C70</f>
        <v>0</v>
      </c>
      <c r="D66" s="384">
        <f>+D67+D68+D69+D70</f>
        <v>0</v>
      </c>
      <c r="E66" s="367">
        <f>+'1.2.sz.mell.'!E129+'1.3.sz.mell.'!E66+'1.4.sz.mell.'!E66</f>
        <v>0</v>
      </c>
    </row>
    <row r="67" spans="1:5" s="394" customFormat="1" ht="13.5" customHeight="1">
      <c r="A67" s="347" t="s">
        <v>108</v>
      </c>
      <c r="B67" s="395" t="s">
        <v>373</v>
      </c>
      <c r="C67" s="388"/>
      <c r="D67" s="388"/>
      <c r="E67" s="338">
        <f>+'1.2.sz.mell.'!E130+'1.3.sz.mell.'!E67+'1.4.sz.mell.'!E67</f>
        <v>0</v>
      </c>
    </row>
    <row r="68" spans="1:5" s="394" customFormat="1" ht="12" customHeight="1">
      <c r="A68" s="346" t="s">
        <v>109</v>
      </c>
      <c r="B68" s="396" t="s">
        <v>374</v>
      </c>
      <c r="C68" s="388"/>
      <c r="D68" s="388"/>
      <c r="E68" s="655">
        <f>+'1.2.sz.mell.'!E131+'1.3.sz.mell.'!E68+'1.4.sz.mell.'!E68</f>
        <v>0</v>
      </c>
    </row>
    <row r="69" spans="1:5" s="394" customFormat="1" ht="12" customHeight="1">
      <c r="A69" s="346" t="s">
        <v>375</v>
      </c>
      <c r="B69" s="396" t="s">
        <v>376</v>
      </c>
      <c r="C69" s="388"/>
      <c r="D69" s="388"/>
      <c r="E69" s="655">
        <f>+'1.2.sz.mell.'!E132+'1.3.sz.mell.'!E69+'1.4.sz.mell.'!E69</f>
        <v>0</v>
      </c>
    </row>
    <row r="70" spans="1:5" s="394" customFormat="1" ht="12" customHeight="1" thickBot="1">
      <c r="A70" s="348" t="s">
        <v>377</v>
      </c>
      <c r="B70" s="397" t="s">
        <v>378</v>
      </c>
      <c r="C70" s="388"/>
      <c r="D70" s="388"/>
      <c r="E70" s="652">
        <f>+'1.2.sz.mell.'!E133+'1.3.sz.mell.'!E70+'1.4.sz.mell.'!E70</f>
        <v>0</v>
      </c>
    </row>
    <row r="71" spans="1:5" s="394" customFormat="1" ht="12" customHeight="1" thickBot="1">
      <c r="A71" s="406" t="s">
        <v>379</v>
      </c>
      <c r="B71" s="374" t="s">
        <v>380</v>
      </c>
      <c r="C71" s="384">
        <f>+C72+C73</f>
        <v>40000000</v>
      </c>
      <c r="D71" s="384">
        <f>+D72+D73</f>
        <v>145745256</v>
      </c>
      <c r="E71" s="367">
        <f>SUM(E72:E73)</f>
        <v>145745256</v>
      </c>
    </row>
    <row r="72" spans="1:5" s="394" customFormat="1" ht="12" customHeight="1">
      <c r="A72" s="347" t="s">
        <v>381</v>
      </c>
      <c r="B72" s="395" t="s">
        <v>382</v>
      </c>
      <c r="C72" s="388">
        <v>40000000</v>
      </c>
      <c r="D72" s="388">
        <v>145162288</v>
      </c>
      <c r="E72" s="653">
        <f>+'6.1. sz. mell'!E74+'7.1. sz. mell'!E37+'8.1. sz. mell.'!E37+'8.2. sz. mell.'!E37+'8.3. sz. mell.'!E37</f>
        <v>145162288</v>
      </c>
    </row>
    <row r="73" spans="1:5" s="394" customFormat="1" ht="12" customHeight="1" thickBot="1">
      <c r="A73" s="348" t="s">
        <v>383</v>
      </c>
      <c r="B73" s="397" t="s">
        <v>384</v>
      </c>
      <c r="C73" s="388"/>
      <c r="D73" s="388">
        <v>582968</v>
      </c>
      <c r="E73" s="652">
        <f>+'6.1. sz. mell'!E75+'7.1. sz. mell'!E38+'8.1. sz. mell.'!E38+'8.2. sz. mell.'!E38+'8.3. sz. mell.'!E38</f>
        <v>582968</v>
      </c>
    </row>
    <row r="74" spans="1:5" s="394" customFormat="1" ht="12" customHeight="1" thickBot="1">
      <c r="A74" s="406" t="s">
        <v>385</v>
      </c>
      <c r="B74" s="374" t="s">
        <v>386</v>
      </c>
      <c r="C74" s="384">
        <f>+C75+C76+C77</f>
        <v>0</v>
      </c>
      <c r="D74" s="384">
        <f>+D75+D76+D77</f>
        <v>0</v>
      </c>
      <c r="E74" s="367">
        <f>SUM(E75:E77)</f>
        <v>18143148</v>
      </c>
    </row>
    <row r="75" spans="1:5" s="394" customFormat="1" ht="12" customHeight="1">
      <c r="A75" s="347" t="s">
        <v>387</v>
      </c>
      <c r="B75" s="395" t="s">
        <v>388</v>
      </c>
      <c r="C75" s="388"/>
      <c r="D75" s="388"/>
      <c r="E75" s="653">
        <v>18143148</v>
      </c>
    </row>
    <row r="76" spans="1:5" s="394" customFormat="1" ht="12" customHeight="1">
      <c r="A76" s="346" t="s">
        <v>389</v>
      </c>
      <c r="B76" s="396" t="s">
        <v>390</v>
      </c>
      <c r="C76" s="388"/>
      <c r="D76" s="388"/>
      <c r="E76" s="656"/>
    </row>
    <row r="77" spans="1:5" s="394" customFormat="1" ht="12" customHeight="1" thickBot="1">
      <c r="A77" s="348" t="s">
        <v>391</v>
      </c>
      <c r="B77" s="376" t="s">
        <v>392</v>
      </c>
      <c r="C77" s="388"/>
      <c r="D77" s="388"/>
      <c r="E77" s="652">
        <f>+'1.2.sz.mell.'!E140+'1.3.sz.mell.'!E77+'1.4.sz.mell.'!E77</f>
        <v>0</v>
      </c>
    </row>
    <row r="78" spans="1:5" s="394" customFormat="1" ht="12" customHeight="1" thickBot="1">
      <c r="A78" s="406" t="s">
        <v>393</v>
      </c>
      <c r="B78" s="374" t="s">
        <v>394</v>
      </c>
      <c r="C78" s="384">
        <f>+C79+C80+C81+C82</f>
        <v>0</v>
      </c>
      <c r="D78" s="384">
        <f>+D79+D80+D81+D82</f>
        <v>0</v>
      </c>
      <c r="E78" s="367">
        <f>+'1.2.sz.mell.'!E141+'1.3.sz.mell.'!E78+'1.4.sz.mell.'!E78</f>
        <v>0</v>
      </c>
    </row>
    <row r="79" spans="1:5" s="394" customFormat="1" ht="12" customHeight="1">
      <c r="A79" s="398" t="s">
        <v>395</v>
      </c>
      <c r="B79" s="395" t="s">
        <v>396</v>
      </c>
      <c r="C79" s="388"/>
      <c r="D79" s="388"/>
      <c r="E79" s="653">
        <f>+'1.2.sz.mell.'!E142+'1.3.sz.mell.'!E79+'1.4.sz.mell.'!E79</f>
        <v>0</v>
      </c>
    </row>
    <row r="80" spans="1:5" s="394" customFormat="1" ht="12" customHeight="1">
      <c r="A80" s="399" t="s">
        <v>397</v>
      </c>
      <c r="B80" s="396" t="s">
        <v>398</v>
      </c>
      <c r="C80" s="388"/>
      <c r="D80" s="388"/>
      <c r="E80" s="656">
        <f>+'1.2.sz.mell.'!E143+'1.3.sz.mell.'!E80+'1.4.sz.mell.'!E80</f>
        <v>0</v>
      </c>
    </row>
    <row r="81" spans="1:5" s="394" customFormat="1" ht="12" customHeight="1">
      <c r="A81" s="399" t="s">
        <v>399</v>
      </c>
      <c r="B81" s="396" t="s">
        <v>400</v>
      </c>
      <c r="C81" s="388"/>
      <c r="D81" s="388"/>
      <c r="E81" s="656">
        <f>+'1.2.sz.mell.'!E144+'1.3.sz.mell.'!E81+'1.4.sz.mell.'!E81</f>
        <v>0</v>
      </c>
    </row>
    <row r="82" spans="1:5" s="394" customFormat="1" ht="12" customHeight="1" thickBot="1">
      <c r="A82" s="407" t="s">
        <v>401</v>
      </c>
      <c r="B82" s="376" t="s">
        <v>402</v>
      </c>
      <c r="C82" s="388"/>
      <c r="D82" s="388"/>
      <c r="E82" s="652"/>
    </row>
    <row r="83" spans="1:5" s="394" customFormat="1" ht="12" customHeight="1" thickBot="1">
      <c r="A83" s="406" t="s">
        <v>403</v>
      </c>
      <c r="B83" s="374" t="s">
        <v>404</v>
      </c>
      <c r="C83" s="409"/>
      <c r="D83" s="409"/>
      <c r="E83" s="367"/>
    </row>
    <row r="84" spans="1:5" s="394" customFormat="1" ht="12" customHeight="1" thickBot="1">
      <c r="A84" s="406" t="s">
        <v>405</v>
      </c>
      <c r="B84" s="330" t="s">
        <v>406</v>
      </c>
      <c r="C84" s="390">
        <f>+C62+C66+C71+C74+C78+C83</f>
        <v>85359000</v>
      </c>
      <c r="D84" s="390">
        <f>+D62+D66+D71+D74+D78+D83</f>
        <v>165745256</v>
      </c>
      <c r="E84" s="390">
        <f>+E62+E66+E71+E74+E78+E83</f>
        <v>163888404</v>
      </c>
    </row>
    <row r="85" spans="1:5" s="394" customFormat="1" ht="12" customHeight="1" thickBot="1">
      <c r="A85" s="408" t="s">
        <v>407</v>
      </c>
      <c r="B85" s="333" t="s">
        <v>408</v>
      </c>
      <c r="C85" s="390">
        <f>+C61+C84</f>
        <v>1162528836</v>
      </c>
      <c r="D85" s="390">
        <f>+D61+D84</f>
        <v>1361000536</v>
      </c>
      <c r="E85" s="390">
        <f>+E61+E84</f>
        <v>1409341198</v>
      </c>
    </row>
    <row r="86" spans="1:5" s="394" customFormat="1" ht="12" customHeight="1">
      <c r="A86" s="328"/>
      <c r="B86" s="328"/>
      <c r="C86" s="329"/>
      <c r="D86" s="329"/>
      <c r="E86" s="329"/>
    </row>
    <row r="87" spans="1:5" ht="16.5" customHeight="1">
      <c r="A87" s="823" t="s">
        <v>36</v>
      </c>
      <c r="B87" s="823"/>
      <c r="C87" s="823"/>
      <c r="D87" s="823"/>
      <c r="E87" s="823"/>
    </row>
    <row r="88" spans="1:5" s="400" customFormat="1" ht="16.5" customHeight="1" thickBot="1">
      <c r="A88" s="46" t="s">
        <v>112</v>
      </c>
      <c r="B88" s="46"/>
      <c r="C88" s="361"/>
      <c r="D88" s="361"/>
      <c r="E88" s="361" t="s">
        <v>752</v>
      </c>
    </row>
    <row r="89" spans="1:5" s="400" customFormat="1" ht="16.5" customHeight="1">
      <c r="A89" s="824" t="s">
        <v>59</v>
      </c>
      <c r="B89" s="826" t="s">
        <v>177</v>
      </c>
      <c r="C89" s="828" t="str">
        <f>+C3</f>
        <v>2016. évi</v>
      </c>
      <c r="D89" s="828"/>
      <c r="E89" s="829"/>
    </row>
    <row r="90" spans="1:5" ht="38.1" customHeight="1" thickBot="1">
      <c r="A90" s="825"/>
      <c r="B90" s="827"/>
      <c r="C90" s="47" t="s">
        <v>178</v>
      </c>
      <c r="D90" s="47" t="s">
        <v>183</v>
      </c>
      <c r="E90" s="48" t="s">
        <v>184</v>
      </c>
    </row>
    <row r="91" spans="1:5" s="393" customFormat="1" ht="12" customHeight="1" thickBot="1">
      <c r="A91" s="357" t="s">
        <v>409</v>
      </c>
      <c r="B91" s="358" t="s">
        <v>410</v>
      </c>
      <c r="C91" s="358" t="s">
        <v>411</v>
      </c>
      <c r="D91" s="358" t="s">
        <v>412</v>
      </c>
      <c r="E91" s="359" t="s">
        <v>413</v>
      </c>
    </row>
    <row r="92" spans="1:5" ht="12" customHeight="1" thickBot="1">
      <c r="A92" s="352" t="s">
        <v>7</v>
      </c>
      <c r="B92" s="355" t="s">
        <v>415</v>
      </c>
      <c r="C92" s="384">
        <f>SUM(C93:C97)</f>
        <v>1093917836</v>
      </c>
      <c r="D92" s="384">
        <f>SUM(D93:D97)</f>
        <v>1162586629</v>
      </c>
      <c r="E92" s="378">
        <f>SUM(E93:E97)</f>
        <v>1067188854</v>
      </c>
    </row>
    <row r="93" spans="1:5" ht="12" customHeight="1">
      <c r="A93" s="349" t="s">
        <v>71</v>
      </c>
      <c r="B93" s="342" t="s">
        <v>37</v>
      </c>
      <c r="C93" s="98">
        <v>518589000</v>
      </c>
      <c r="D93" s="98">
        <v>529305319</v>
      </c>
      <c r="E93" s="653">
        <f>+'6.1. sz. mell'!E92+'7.1. sz. mell'!E45+'8.1. sz. mell.'!E45+'8.2. sz. mell.'!E45+'8.3. sz. mell.'!E45</f>
        <v>512056922</v>
      </c>
    </row>
    <row r="94" spans="1:5" ht="12" customHeight="1">
      <c r="A94" s="346" t="s">
        <v>72</v>
      </c>
      <c r="B94" s="340" t="s">
        <v>133</v>
      </c>
      <c r="C94" s="385">
        <v>105750000</v>
      </c>
      <c r="D94" s="385">
        <v>110124927</v>
      </c>
      <c r="E94" s="656">
        <f>+'6.1. sz. mell'!E93+'7.1. sz. mell'!E46+'8.1. sz. mell.'!E46+'8.2. sz. mell.'!E46+'8.3. sz. mell.'!E46</f>
        <v>105114101</v>
      </c>
    </row>
    <row r="95" spans="1:5" ht="12" customHeight="1">
      <c r="A95" s="346" t="s">
        <v>73</v>
      </c>
      <c r="B95" s="340" t="s">
        <v>100</v>
      </c>
      <c r="C95" s="387">
        <v>376246836</v>
      </c>
      <c r="D95" s="387">
        <v>440819544</v>
      </c>
      <c r="E95" s="656">
        <f>+'6.1. sz. mell'!E94+'7.1. sz. mell'!E47+'8.1. sz. mell.'!E47+'8.2. sz. mell.'!E47+'8.3. sz. mell.'!E47</f>
        <v>382242876</v>
      </c>
    </row>
    <row r="96" spans="1:5" ht="12" customHeight="1">
      <c r="A96" s="346" t="s">
        <v>74</v>
      </c>
      <c r="B96" s="343" t="s">
        <v>134</v>
      </c>
      <c r="C96" s="387">
        <v>35992000</v>
      </c>
      <c r="D96" s="387">
        <v>16736586</v>
      </c>
      <c r="E96" s="656">
        <f>+'6.1. sz. mell'!E95+'7.1. sz. mell'!E48+'8.1. sz. mell.'!E48+'8.2. sz. mell.'!E48+'8.3. sz. mell.'!E48</f>
        <v>16669950</v>
      </c>
    </row>
    <row r="97" spans="1:5" ht="12" customHeight="1">
      <c r="A97" s="346" t="s">
        <v>83</v>
      </c>
      <c r="B97" s="351" t="s">
        <v>135</v>
      </c>
      <c r="C97" s="387">
        <v>57340000</v>
      </c>
      <c r="D97" s="387">
        <v>65600253</v>
      </c>
      <c r="E97" s="656">
        <f>+'6.1. sz. mell'!E96+'7.1. sz. mell'!E49+'8.1. sz. mell.'!E49+'8.2. sz. mell.'!E49+'8.3. sz. mell.'!E49</f>
        <v>51105005</v>
      </c>
    </row>
    <row r="98" spans="1:5" ht="12" customHeight="1">
      <c r="A98" s="346" t="s">
        <v>75</v>
      </c>
      <c r="B98" s="340" t="s">
        <v>416</v>
      </c>
      <c r="C98" s="387"/>
      <c r="D98" s="387"/>
      <c r="E98" s="656"/>
    </row>
    <row r="99" spans="1:5" ht="12" customHeight="1">
      <c r="A99" s="346" t="s">
        <v>76</v>
      </c>
      <c r="B99" s="363" t="s">
        <v>417</v>
      </c>
      <c r="C99" s="387"/>
      <c r="D99" s="387"/>
      <c r="E99" s="656"/>
    </row>
    <row r="100" spans="1:5" ht="12" customHeight="1">
      <c r="A100" s="346" t="s">
        <v>84</v>
      </c>
      <c r="B100" s="364" t="s">
        <v>418</v>
      </c>
      <c r="C100" s="387"/>
      <c r="D100" s="387"/>
      <c r="E100" s="656"/>
    </row>
    <row r="101" spans="1:5" ht="12" customHeight="1">
      <c r="A101" s="346" t="s">
        <v>85</v>
      </c>
      <c r="B101" s="364" t="s">
        <v>419</v>
      </c>
      <c r="C101" s="387"/>
      <c r="D101" s="387"/>
      <c r="E101" s="656"/>
    </row>
    <row r="102" spans="1:5" ht="12" customHeight="1">
      <c r="A102" s="346" t="s">
        <v>86</v>
      </c>
      <c r="B102" s="363" t="s">
        <v>420</v>
      </c>
      <c r="C102" s="387">
        <v>40740000</v>
      </c>
      <c r="D102" s="387">
        <v>48701258</v>
      </c>
      <c r="E102" s="656"/>
    </row>
    <row r="103" spans="1:5" ht="12" customHeight="1">
      <c r="A103" s="346" t="s">
        <v>87</v>
      </c>
      <c r="B103" s="363" t="s">
        <v>421</v>
      </c>
      <c r="C103" s="387"/>
      <c r="D103" s="387"/>
      <c r="E103" s="656"/>
    </row>
    <row r="104" spans="1:5" ht="12" customHeight="1">
      <c r="A104" s="346" t="s">
        <v>89</v>
      </c>
      <c r="B104" s="364" t="s">
        <v>422</v>
      </c>
      <c r="C104" s="387"/>
      <c r="D104" s="387"/>
      <c r="E104" s="656"/>
    </row>
    <row r="105" spans="1:5" ht="12" customHeight="1">
      <c r="A105" s="345" t="s">
        <v>136</v>
      </c>
      <c r="B105" s="365" t="s">
        <v>423</v>
      </c>
      <c r="C105" s="387"/>
      <c r="D105" s="387"/>
      <c r="E105" s="656"/>
    </row>
    <row r="106" spans="1:5" ht="12" customHeight="1">
      <c r="A106" s="346" t="s">
        <v>424</v>
      </c>
      <c r="B106" s="365" t="s">
        <v>425</v>
      </c>
      <c r="C106" s="387"/>
      <c r="D106" s="387"/>
      <c r="E106" s="656"/>
    </row>
    <row r="107" spans="1:5" ht="12" customHeight="1" thickBot="1">
      <c r="A107" s="350" t="s">
        <v>426</v>
      </c>
      <c r="B107" s="366" t="s">
        <v>427</v>
      </c>
      <c r="C107" s="99">
        <v>16600000</v>
      </c>
      <c r="D107" s="99">
        <v>16600000</v>
      </c>
      <c r="E107" s="657"/>
    </row>
    <row r="108" spans="1:5" ht="12" customHeight="1" thickBot="1">
      <c r="A108" s="352" t="s">
        <v>8</v>
      </c>
      <c r="B108" s="355" t="s">
        <v>428</v>
      </c>
      <c r="C108" s="384">
        <f>+C109+C111+C113</f>
        <v>66078000</v>
      </c>
      <c r="D108" s="384">
        <f>+D109+D111+D113</f>
        <v>164216617</v>
      </c>
      <c r="E108" s="338">
        <f>+'1.2.sz.mell.'!E108+'1.3.sz.mell.'!E108+'1.4.sz.mell.'!E108</f>
        <v>141254026</v>
      </c>
    </row>
    <row r="109" spans="1:5" ht="12" customHeight="1">
      <c r="A109" s="347" t="s">
        <v>77</v>
      </c>
      <c r="B109" s="340" t="s">
        <v>155</v>
      </c>
      <c r="C109" s="386">
        <v>61278000</v>
      </c>
      <c r="D109" s="386">
        <v>124623647</v>
      </c>
      <c r="E109" s="653">
        <f>+'6.1. sz. mell'!E108+'7.1. sz. mell'!E51+'8.1. sz. mell.'!E51+'8.2. sz. mell.'!E51+'8.3. sz. mell.'!E51</f>
        <v>103983247</v>
      </c>
    </row>
    <row r="110" spans="1:5" ht="12" customHeight="1">
      <c r="A110" s="347" t="s">
        <v>78</v>
      </c>
      <c r="B110" s="344" t="s">
        <v>429</v>
      </c>
      <c r="C110" s="386"/>
      <c r="D110" s="386"/>
      <c r="E110" s="656">
        <f>+'1.2.sz.mell.'!E110+'1.3.sz.mell.'!E110+'1.4.sz.mell.'!E110</f>
        <v>0</v>
      </c>
    </row>
    <row r="111" spans="1:5">
      <c r="A111" s="347" t="s">
        <v>79</v>
      </c>
      <c r="B111" s="344" t="s">
        <v>137</v>
      </c>
      <c r="C111" s="385">
        <v>4800000</v>
      </c>
      <c r="D111" s="385">
        <v>39592970</v>
      </c>
      <c r="E111" s="656">
        <f>+'1.2.sz.mell.'!E111+'1.3.sz.mell.'!E111+'1.4.sz.mell.'!E111</f>
        <v>37270779</v>
      </c>
    </row>
    <row r="112" spans="1:5" ht="12" customHeight="1">
      <c r="A112" s="347" t="s">
        <v>80</v>
      </c>
      <c r="B112" s="344" t="s">
        <v>430</v>
      </c>
      <c r="C112" s="385"/>
      <c r="D112" s="385"/>
      <c r="E112" s="656">
        <f>+'1.2.sz.mell.'!E112+'1.3.sz.mell.'!E112+'1.4.sz.mell.'!E112</f>
        <v>0</v>
      </c>
    </row>
    <row r="113" spans="1:5" ht="12" customHeight="1">
      <c r="A113" s="347" t="s">
        <v>81</v>
      </c>
      <c r="B113" s="376" t="s">
        <v>158</v>
      </c>
      <c r="C113" s="385"/>
      <c r="D113" s="385"/>
      <c r="E113" s="656">
        <f>+'1.2.sz.mell.'!E113+'1.3.sz.mell.'!E113+'1.4.sz.mell.'!E113</f>
        <v>0</v>
      </c>
    </row>
    <row r="114" spans="1:5" ht="21.75" customHeight="1">
      <c r="A114" s="347" t="s">
        <v>88</v>
      </c>
      <c r="B114" s="375" t="s">
        <v>431</v>
      </c>
      <c r="C114" s="385"/>
      <c r="D114" s="385"/>
      <c r="E114" s="656">
        <f>+'1.2.sz.mell.'!E114+'1.3.sz.mell.'!E114+'1.4.sz.mell.'!E114</f>
        <v>0</v>
      </c>
    </row>
    <row r="115" spans="1:5" ht="24" customHeight="1">
      <c r="A115" s="347" t="s">
        <v>90</v>
      </c>
      <c r="B115" s="391" t="s">
        <v>432</v>
      </c>
      <c r="C115" s="385"/>
      <c r="D115" s="385"/>
      <c r="E115" s="656">
        <f>+'1.2.sz.mell.'!E115+'1.3.sz.mell.'!E115+'1.4.sz.mell.'!E115</f>
        <v>0</v>
      </c>
    </row>
    <row r="116" spans="1:5" ht="12" customHeight="1">
      <c r="A116" s="347" t="s">
        <v>138</v>
      </c>
      <c r="B116" s="364" t="s">
        <v>419</v>
      </c>
      <c r="C116" s="385"/>
      <c r="D116" s="385"/>
      <c r="E116" s="656">
        <f>+'1.2.sz.mell.'!E116+'1.3.sz.mell.'!E116+'1.4.sz.mell.'!E116</f>
        <v>0</v>
      </c>
    </row>
    <row r="117" spans="1:5" ht="12" customHeight="1">
      <c r="A117" s="347" t="s">
        <v>139</v>
      </c>
      <c r="B117" s="364" t="s">
        <v>433</v>
      </c>
      <c r="C117" s="385"/>
      <c r="D117" s="385"/>
      <c r="E117" s="656">
        <f>+'1.2.sz.mell.'!E117+'1.3.sz.mell.'!E117+'1.4.sz.mell.'!E117</f>
        <v>0</v>
      </c>
    </row>
    <row r="118" spans="1:5" ht="12" customHeight="1">
      <c r="A118" s="347" t="s">
        <v>140</v>
      </c>
      <c r="B118" s="364" t="s">
        <v>434</v>
      </c>
      <c r="C118" s="385"/>
      <c r="D118" s="385"/>
      <c r="E118" s="656">
        <f>+'1.2.sz.mell.'!E118+'1.3.sz.mell.'!E118+'1.4.sz.mell.'!E118</f>
        <v>0</v>
      </c>
    </row>
    <row r="119" spans="1:5" s="411" customFormat="1" ht="12" customHeight="1">
      <c r="A119" s="347" t="s">
        <v>435</v>
      </c>
      <c r="B119" s="364" t="s">
        <v>422</v>
      </c>
      <c r="C119" s="385"/>
      <c r="D119" s="385"/>
      <c r="E119" s="656">
        <f>+'1.2.sz.mell.'!E119+'1.3.sz.mell.'!E119+'1.4.sz.mell.'!E119</f>
        <v>0</v>
      </c>
    </row>
    <row r="120" spans="1:5" ht="12" customHeight="1">
      <c r="A120" s="347" t="s">
        <v>436</v>
      </c>
      <c r="B120" s="364" t="s">
        <v>437</v>
      </c>
      <c r="C120" s="385"/>
      <c r="D120" s="385"/>
      <c r="E120" s="656">
        <f>+'1.2.sz.mell.'!E120+'1.3.sz.mell.'!E120+'1.4.sz.mell.'!E120</f>
        <v>0</v>
      </c>
    </row>
    <row r="121" spans="1:5" ht="12" customHeight="1" thickBot="1">
      <c r="A121" s="345" t="s">
        <v>438</v>
      </c>
      <c r="B121" s="364" t="s">
        <v>439</v>
      </c>
      <c r="C121" s="387"/>
      <c r="D121" s="387"/>
      <c r="E121" s="657">
        <f>+'1.2.sz.mell.'!E121+'1.3.sz.mell.'!E121+'1.4.sz.mell.'!E121</f>
        <v>0</v>
      </c>
    </row>
    <row r="122" spans="1:5" ht="12" customHeight="1" thickBot="1">
      <c r="A122" s="352" t="s">
        <v>9</v>
      </c>
      <c r="B122" s="360" t="s">
        <v>440</v>
      </c>
      <c r="C122" s="384">
        <f>+C123+C124</f>
        <v>0</v>
      </c>
      <c r="D122" s="384">
        <f>+D123+D124</f>
        <v>15000000</v>
      </c>
      <c r="E122" s="338">
        <f>+'1.2.sz.mell.'!E122+'1.3.sz.mell.'!E122+'1.4.sz.mell.'!E122</f>
        <v>0</v>
      </c>
    </row>
    <row r="123" spans="1:5" ht="12" customHeight="1">
      <c r="A123" s="347" t="s">
        <v>60</v>
      </c>
      <c r="B123" s="341" t="s">
        <v>45</v>
      </c>
      <c r="C123" s="386"/>
      <c r="D123" s="386"/>
      <c r="E123" s="653">
        <f>+'1.2.sz.mell.'!E123+'1.3.sz.mell.'!E123+'1.4.sz.mell.'!E123</f>
        <v>0</v>
      </c>
    </row>
    <row r="124" spans="1:5" ht="12" customHeight="1" thickBot="1">
      <c r="A124" s="348" t="s">
        <v>61</v>
      </c>
      <c r="B124" s="344" t="s">
        <v>46</v>
      </c>
      <c r="C124" s="387"/>
      <c r="D124" s="387">
        <v>15000000</v>
      </c>
      <c r="E124" s="657">
        <f>+'1.2.sz.mell.'!E124+'1.3.sz.mell.'!E124+'1.4.sz.mell.'!E124</f>
        <v>0</v>
      </c>
    </row>
    <row r="125" spans="1:5" ht="12" customHeight="1" thickBot="1">
      <c r="A125" s="352" t="s">
        <v>10</v>
      </c>
      <c r="B125" s="360" t="s">
        <v>441</v>
      </c>
      <c r="C125" s="384">
        <f>+C92+C108+C122</f>
        <v>1159995836</v>
      </c>
      <c r="D125" s="384">
        <f>+D92+D108+D122</f>
        <v>1341803246</v>
      </c>
      <c r="E125" s="378">
        <f>+E92+E108+E122</f>
        <v>1208442880</v>
      </c>
    </row>
    <row r="126" spans="1:5" ht="12" customHeight="1" thickBot="1">
      <c r="A126" s="352" t="s">
        <v>11</v>
      </c>
      <c r="B126" s="360" t="s">
        <v>442</v>
      </c>
      <c r="C126" s="384">
        <f>+C127+C128+C129</f>
        <v>1633000</v>
      </c>
      <c r="D126" s="384">
        <f>+D127+D128+D129</f>
        <v>1633000</v>
      </c>
      <c r="E126" s="378">
        <f>+E127+E128+E129</f>
        <v>1633000</v>
      </c>
    </row>
    <row r="127" spans="1:5" ht="12" customHeight="1">
      <c r="A127" s="347" t="s">
        <v>64</v>
      </c>
      <c r="B127" s="341" t="s">
        <v>443</v>
      </c>
      <c r="C127" s="385">
        <v>1633000</v>
      </c>
      <c r="D127" s="385">
        <v>1633000</v>
      </c>
      <c r="E127" s="653">
        <f>+'6.1. sz. mell'!E126</f>
        <v>1633000</v>
      </c>
    </row>
    <row r="128" spans="1:5" ht="12" customHeight="1">
      <c r="A128" s="347" t="s">
        <v>65</v>
      </c>
      <c r="B128" s="341" t="s">
        <v>444</v>
      </c>
      <c r="C128" s="385"/>
      <c r="D128" s="385"/>
      <c r="E128" s="656"/>
    </row>
    <row r="129" spans="1:9" ht="12" customHeight="1" thickBot="1">
      <c r="A129" s="345" t="s">
        <v>66</v>
      </c>
      <c r="B129" s="339" t="s">
        <v>445</v>
      </c>
      <c r="C129" s="385"/>
      <c r="D129" s="385"/>
      <c r="E129" s="657"/>
    </row>
    <row r="130" spans="1:9" ht="12" customHeight="1" thickBot="1">
      <c r="A130" s="352" t="s">
        <v>12</v>
      </c>
      <c r="B130" s="360" t="s">
        <v>446</v>
      </c>
      <c r="C130" s="384">
        <f>+C131+C132+C134+C133</f>
        <v>0</v>
      </c>
      <c r="D130" s="384">
        <f>+D131+D132+D134+D133</f>
        <v>0</v>
      </c>
      <c r="E130" s="338"/>
    </row>
    <row r="131" spans="1:9" ht="12" customHeight="1">
      <c r="A131" s="347" t="s">
        <v>67</v>
      </c>
      <c r="B131" s="341" t="s">
        <v>447</v>
      </c>
      <c r="C131" s="385"/>
      <c r="D131" s="385"/>
      <c r="E131" s="653"/>
    </row>
    <row r="132" spans="1:9" ht="12" customHeight="1">
      <c r="A132" s="347" t="s">
        <v>68</v>
      </c>
      <c r="B132" s="341" t="s">
        <v>448</v>
      </c>
      <c r="C132" s="385"/>
      <c r="D132" s="385"/>
      <c r="E132" s="656"/>
    </row>
    <row r="133" spans="1:9" ht="12" customHeight="1">
      <c r="A133" s="347" t="s">
        <v>343</v>
      </c>
      <c r="B133" s="341" t="s">
        <v>449</v>
      </c>
      <c r="C133" s="385"/>
      <c r="D133" s="385"/>
      <c r="E133" s="655"/>
    </row>
    <row r="134" spans="1:9" ht="12" customHeight="1" thickBot="1">
      <c r="A134" s="345" t="s">
        <v>345</v>
      </c>
      <c r="B134" s="339" t="s">
        <v>450</v>
      </c>
      <c r="C134" s="385"/>
      <c r="D134" s="385"/>
      <c r="E134" s="657"/>
    </row>
    <row r="135" spans="1:9" ht="12" customHeight="1" thickBot="1">
      <c r="A135" s="352" t="s">
        <v>13</v>
      </c>
      <c r="B135" s="360" t="s">
        <v>451</v>
      </c>
      <c r="C135" s="390">
        <f>+C136+C137+C138+C139</f>
        <v>900000</v>
      </c>
      <c r="D135" s="390">
        <f>+D136+D137+D138+D139</f>
        <v>17564290</v>
      </c>
      <c r="E135" s="338">
        <f>SUM(E136:E139)</f>
        <v>17544164</v>
      </c>
    </row>
    <row r="136" spans="1:9" ht="12" customHeight="1">
      <c r="A136" s="347" t="s">
        <v>69</v>
      </c>
      <c r="B136" s="341" t="s">
        <v>452</v>
      </c>
      <c r="C136" s="385"/>
      <c r="D136" s="385"/>
      <c r="E136" s="653"/>
    </row>
    <row r="137" spans="1:9" ht="12" customHeight="1">
      <c r="A137" s="347" t="s">
        <v>70</v>
      </c>
      <c r="B137" s="341" t="s">
        <v>453</v>
      </c>
      <c r="C137" s="385"/>
      <c r="D137" s="385">
        <v>16664290</v>
      </c>
      <c r="E137" s="655">
        <f>+'6.1. sz. mell'!E136</f>
        <v>16664290</v>
      </c>
    </row>
    <row r="138" spans="1:9" ht="12" customHeight="1">
      <c r="A138" s="347" t="s">
        <v>352</v>
      </c>
      <c r="B138" s="341" t="s">
        <v>454</v>
      </c>
      <c r="C138" s="385"/>
      <c r="D138" s="385"/>
      <c r="E138" s="655"/>
    </row>
    <row r="139" spans="1:9" ht="12" customHeight="1" thickBot="1">
      <c r="A139" s="345" t="s">
        <v>354</v>
      </c>
      <c r="B139" s="339" t="s">
        <v>455</v>
      </c>
      <c r="C139" s="385">
        <v>900000</v>
      </c>
      <c r="D139" s="385">
        <v>900000</v>
      </c>
      <c r="E139" s="657">
        <f>+'6.1. sz. mell'!E139</f>
        <v>879874</v>
      </c>
    </row>
    <row r="140" spans="1:9" ht="15" customHeight="1" thickBot="1">
      <c r="A140" s="352" t="s">
        <v>14</v>
      </c>
      <c r="B140" s="360" t="s">
        <v>456</v>
      </c>
      <c r="C140" s="100">
        <f>+C141+C142+C143+C144</f>
        <v>0</v>
      </c>
      <c r="D140" s="100">
        <f>+D141+D142+D143+D144</f>
        <v>0</v>
      </c>
      <c r="E140" s="338"/>
      <c r="F140" s="401"/>
      <c r="G140" s="402"/>
      <c r="H140" s="402"/>
      <c r="I140" s="402"/>
    </row>
    <row r="141" spans="1:9" s="394" customFormat="1" ht="12.95" customHeight="1">
      <c r="A141" s="347" t="s">
        <v>131</v>
      </c>
      <c r="B141" s="341" t="s">
        <v>457</v>
      </c>
      <c r="C141" s="385"/>
      <c r="D141" s="385"/>
      <c r="E141" s="653"/>
    </row>
    <row r="142" spans="1:9" ht="12.75" customHeight="1">
      <c r="A142" s="347" t="s">
        <v>132</v>
      </c>
      <c r="B142" s="341" t="s">
        <v>458</v>
      </c>
      <c r="C142" s="385"/>
      <c r="D142" s="385"/>
      <c r="E142" s="656"/>
    </row>
    <row r="143" spans="1:9" ht="12.75" customHeight="1">
      <c r="A143" s="347" t="s">
        <v>157</v>
      </c>
      <c r="B143" s="341" t="s">
        <v>459</v>
      </c>
      <c r="C143" s="385"/>
      <c r="D143" s="385"/>
      <c r="E143" s="655"/>
    </row>
    <row r="144" spans="1:9" ht="12.75" customHeight="1" thickBot="1">
      <c r="A144" s="347" t="s">
        <v>360</v>
      </c>
      <c r="B144" s="341" t="s">
        <v>460</v>
      </c>
      <c r="C144" s="385"/>
      <c r="D144" s="385"/>
      <c r="E144" s="657"/>
    </row>
    <row r="145" spans="1:5" ht="16.5" thickBot="1">
      <c r="A145" s="352" t="s">
        <v>15</v>
      </c>
      <c r="B145" s="360" t="s">
        <v>461</v>
      </c>
      <c r="C145" s="334">
        <f>+C126+C130+C135+C140</f>
        <v>2533000</v>
      </c>
      <c r="D145" s="334">
        <f>+D126+D130+D135+D140</f>
        <v>19197290</v>
      </c>
      <c r="E145" s="523">
        <f>+E126+E130+E135+E140</f>
        <v>19177164</v>
      </c>
    </row>
    <row r="146" spans="1:5" ht="16.5" thickBot="1">
      <c r="A146" s="377" t="s">
        <v>16</v>
      </c>
      <c r="B146" s="380" t="s">
        <v>462</v>
      </c>
      <c r="C146" s="334">
        <f>+C125+C145</f>
        <v>1162528836</v>
      </c>
      <c r="D146" s="334">
        <f>+D125+D145</f>
        <v>1361000536</v>
      </c>
      <c r="E146" s="523">
        <f>+E125+E145</f>
        <v>1227620044</v>
      </c>
    </row>
    <row r="148" spans="1:5" ht="18.75" customHeight="1">
      <c r="A148" s="822" t="s">
        <v>463</v>
      </c>
      <c r="B148" s="822"/>
      <c r="C148" s="822"/>
      <c r="D148" s="822"/>
      <c r="E148" s="822"/>
    </row>
    <row r="149" spans="1:5" ht="13.5" customHeight="1" thickBot="1">
      <c r="A149" s="362" t="s">
        <v>113</v>
      </c>
      <c r="B149" s="362"/>
      <c r="C149" s="392"/>
      <c r="E149" s="379" t="s">
        <v>752</v>
      </c>
    </row>
    <row r="150" spans="1:5" ht="21.75" thickBot="1">
      <c r="A150" s="352">
        <v>1</v>
      </c>
      <c r="B150" s="355" t="s">
        <v>464</v>
      </c>
      <c r="C150" s="378">
        <f>+C61-C125</f>
        <v>-82826000</v>
      </c>
      <c r="D150" s="378">
        <f>+D61-D125</f>
        <v>-146547966</v>
      </c>
      <c r="E150" s="378">
        <f>+E61-E125</f>
        <v>37009914</v>
      </c>
    </row>
    <row r="151" spans="1:5" ht="21.75" thickBot="1">
      <c r="A151" s="352" t="s">
        <v>8</v>
      </c>
      <c r="B151" s="355" t="s">
        <v>465</v>
      </c>
      <c r="C151" s="378">
        <f>+C84-C145</f>
        <v>82826000</v>
      </c>
      <c r="D151" s="378">
        <f>+D84-D145</f>
        <v>146547966</v>
      </c>
      <c r="E151" s="378">
        <f>+E84-E145</f>
        <v>144711240</v>
      </c>
    </row>
    <row r="152" spans="1:5" ht="7.5" customHeight="1"/>
    <row r="154" spans="1:5" ht="12.75" customHeight="1"/>
    <row r="155" spans="1:5" ht="12.75" customHeight="1"/>
    <row r="156" spans="1:5" ht="12.75" customHeight="1"/>
    <row r="157" spans="1:5" ht="12.75" customHeight="1"/>
    <row r="158" spans="1:5" ht="12.75" customHeight="1"/>
    <row r="159" spans="1:5" ht="12.75" customHeight="1"/>
    <row r="160" spans="1:5" ht="12.75" customHeight="1"/>
    <row r="161" ht="12.75" customHeight="1"/>
  </sheetData>
  <mergeCells count="9">
    <mergeCell ref="A148:E148"/>
    <mergeCell ref="A1:E1"/>
    <mergeCell ref="A87:E87"/>
    <mergeCell ref="A89:A90"/>
    <mergeCell ref="B89:B90"/>
    <mergeCell ref="C89:E89"/>
    <mergeCell ref="A3:A4"/>
    <mergeCell ref="B3:B4"/>
    <mergeCell ref="C3:E3"/>
  </mergeCells>
  <phoneticPr fontId="0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2016. ÉVI ZÁRSZÁMADÁSÁNAK PÉNZÜGYI MÉRLEGE&amp;10
&amp;R&amp;"Times New Roman CE,Félkövér dőlt"&amp;11 1.1. melléklet a 15/2017. (V. 30.) önkormányzati rendelethez</oddHeader>
  </headerFooter>
  <rowBreaks count="1" manualBreakCount="1">
    <brk id="86" max="4" man="1"/>
  </rowBreaks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92D050"/>
  </sheetPr>
  <dimension ref="A1:E58"/>
  <sheetViews>
    <sheetView zoomScaleNormal="100" zoomScaleSheetLayoutView="145" workbookViewId="0">
      <selection activeCell="E2" sqref="E2"/>
    </sheetView>
  </sheetViews>
  <sheetFormatPr defaultRowHeight="12.75"/>
  <cols>
    <col min="1" max="1" width="18.6640625" style="556" customWidth="1"/>
    <col min="2" max="2" width="62" style="32" customWidth="1"/>
    <col min="3" max="5" width="15.83203125" style="32" customWidth="1"/>
    <col min="6" max="16384" width="9.33203125" style="32"/>
  </cols>
  <sheetData>
    <row r="1" spans="1:5" s="491" customFormat="1" ht="21" customHeight="1" thickBot="1">
      <c r="A1" s="490"/>
      <c r="B1" s="492"/>
      <c r="C1" s="537"/>
      <c r="D1" s="537"/>
      <c r="E1" s="630" t="str">
        <f>+CONCATENATE("8.1. melléklet a 15/",LEFT(ÖSSZEFÜGGÉSEK!A4,4)+1,". (V. 30.) önkormányzati rendelethez")</f>
        <v>8.1. melléklet a 15/2017. (V. 30.) önkormányzati rendelethez</v>
      </c>
    </row>
    <row r="2" spans="1:5" s="538" customFormat="1" ht="25.5" customHeight="1">
      <c r="A2" s="518" t="s">
        <v>147</v>
      </c>
      <c r="B2" s="866" t="s">
        <v>733</v>
      </c>
      <c r="C2" s="867"/>
      <c r="D2" s="868"/>
      <c r="E2" s="561" t="s">
        <v>48</v>
      </c>
    </row>
    <row r="3" spans="1:5" s="538" customFormat="1" ht="24.75" thickBot="1">
      <c r="A3" s="536" t="s">
        <v>146</v>
      </c>
      <c r="B3" s="869" t="s">
        <v>541</v>
      </c>
      <c r="C3" s="872"/>
      <c r="D3" s="873"/>
      <c r="E3" s="562" t="s">
        <v>41</v>
      </c>
    </row>
    <row r="4" spans="1:5" s="539" customFormat="1" ht="15.95" customHeight="1" thickBot="1">
      <c r="A4" s="493"/>
      <c r="B4" s="493"/>
      <c r="C4" s="494"/>
      <c r="D4" s="494"/>
      <c r="E4" s="494" t="s">
        <v>769</v>
      </c>
    </row>
    <row r="5" spans="1:5" ht="24.75" thickBot="1">
      <c r="A5" s="325" t="s">
        <v>148</v>
      </c>
      <c r="B5" s="326" t="s">
        <v>727</v>
      </c>
      <c r="C5" s="97" t="s">
        <v>178</v>
      </c>
      <c r="D5" s="97" t="s">
        <v>183</v>
      </c>
      <c r="E5" s="495" t="s">
        <v>184</v>
      </c>
    </row>
    <row r="6" spans="1:5" s="540" customFormat="1" ht="12.95" customHeight="1" thickBot="1">
      <c r="A6" s="488" t="s">
        <v>409</v>
      </c>
      <c r="B6" s="489" t="s">
        <v>410</v>
      </c>
      <c r="C6" s="489" t="s">
        <v>411</v>
      </c>
      <c r="D6" s="112" t="s">
        <v>412</v>
      </c>
      <c r="E6" s="110" t="s">
        <v>413</v>
      </c>
    </row>
    <row r="7" spans="1:5" s="540" customFormat="1" ht="15.95" customHeight="1" thickBot="1">
      <c r="A7" s="863" t="s">
        <v>42</v>
      </c>
      <c r="B7" s="864"/>
      <c r="C7" s="864"/>
      <c r="D7" s="864"/>
      <c r="E7" s="865"/>
    </row>
    <row r="8" spans="1:5" s="514" customFormat="1" ht="12" customHeight="1" thickBot="1">
      <c r="A8" s="488" t="s">
        <v>7</v>
      </c>
      <c r="B8" s="552" t="s">
        <v>549</v>
      </c>
      <c r="C8" s="419">
        <f>SUM(C9:C18)</f>
        <v>51273000</v>
      </c>
      <c r="D8" s="581">
        <f>SUM(D9:D18)</f>
        <v>60968090</v>
      </c>
      <c r="E8" s="558">
        <f>+'8.1.1. sz. mell.'!E8+'8.1.2. sz. mell.'!E8+'8.1.3. sz. mell.'!E8</f>
        <v>70632142</v>
      </c>
    </row>
    <row r="9" spans="1:5" s="514" customFormat="1" ht="12" customHeight="1">
      <c r="A9" s="563" t="s">
        <v>71</v>
      </c>
      <c r="B9" s="342" t="s">
        <v>328</v>
      </c>
      <c r="C9" s="106"/>
      <c r="D9" s="582">
        <v>6299000</v>
      </c>
      <c r="E9" s="664">
        <f>+'8.1.1. sz. mell.'!E9+'8.1.2. sz. mell.'!E9+'8.1.3. sz. mell.'!E9</f>
        <v>6133799</v>
      </c>
    </row>
    <row r="10" spans="1:5" s="514" customFormat="1" ht="12" customHeight="1">
      <c r="A10" s="564" t="s">
        <v>72</v>
      </c>
      <c r="B10" s="340" t="s">
        <v>329</v>
      </c>
      <c r="C10" s="416">
        <v>35558000</v>
      </c>
      <c r="D10" s="583">
        <v>9725000</v>
      </c>
      <c r="E10" s="666">
        <f>+'8.1.1. sz. mell.'!E10+'8.1.2. sz. mell.'!E10+'8.1.3. sz. mell.'!E10</f>
        <v>17763109</v>
      </c>
    </row>
    <row r="11" spans="1:5" s="514" customFormat="1" ht="12" customHeight="1">
      <c r="A11" s="564" t="s">
        <v>73</v>
      </c>
      <c r="B11" s="340" t="s">
        <v>330</v>
      </c>
      <c r="C11" s="416">
        <v>525000</v>
      </c>
      <c r="D11" s="583"/>
      <c r="E11" s="667">
        <f>+'8.1.1. sz. mell.'!E11+'8.1.2. sz. mell.'!E11+'8.1.3. sz. mell.'!E11</f>
        <v>0</v>
      </c>
    </row>
    <row r="12" spans="1:5" s="514" customFormat="1" ht="12" customHeight="1">
      <c r="A12" s="564" t="s">
        <v>74</v>
      </c>
      <c r="B12" s="340" t="s">
        <v>331</v>
      </c>
      <c r="C12" s="416"/>
      <c r="D12" s="583"/>
      <c r="E12" s="666">
        <f>+'8.1.1. sz. mell.'!E12+'8.1.2. sz. mell.'!E12+'8.1.3. sz. mell.'!E12</f>
        <v>0</v>
      </c>
    </row>
    <row r="13" spans="1:5" s="514" customFormat="1" ht="12" customHeight="1">
      <c r="A13" s="564" t="s">
        <v>107</v>
      </c>
      <c r="B13" s="340" t="s">
        <v>332</v>
      </c>
      <c r="C13" s="416">
        <v>4868000</v>
      </c>
      <c r="D13" s="583">
        <v>32226000</v>
      </c>
      <c r="E13" s="667">
        <f>+'8.1.1. sz. mell.'!E13+'8.1.2. sz. mell.'!E13+'8.1.3. sz. mell.'!E13</f>
        <v>31941187</v>
      </c>
    </row>
    <row r="14" spans="1:5" s="514" customFormat="1" ht="12" customHeight="1">
      <c r="A14" s="564" t="s">
        <v>75</v>
      </c>
      <c r="B14" s="340" t="s">
        <v>550</v>
      </c>
      <c r="C14" s="416">
        <v>10322000</v>
      </c>
      <c r="D14" s="583">
        <v>12696940</v>
      </c>
      <c r="E14" s="666">
        <f>+'8.1.1. sz. mell.'!E14+'8.1.2. sz. mell.'!E14+'8.1.3. sz. mell.'!E14</f>
        <v>14778339</v>
      </c>
    </row>
    <row r="15" spans="1:5" s="541" customFormat="1" ht="12" customHeight="1">
      <c r="A15" s="564" t="s">
        <v>76</v>
      </c>
      <c r="B15" s="339" t="s">
        <v>551</v>
      </c>
      <c r="C15" s="416"/>
      <c r="D15" s="583"/>
      <c r="E15" s="667">
        <f>+'8.1.1. sz. mell.'!E15+'8.1.2. sz. mell.'!E15+'8.1.3. sz. mell.'!E15</f>
        <v>0</v>
      </c>
    </row>
    <row r="16" spans="1:5" s="541" customFormat="1" ht="12" customHeight="1">
      <c r="A16" s="564" t="s">
        <v>84</v>
      </c>
      <c r="B16" s="340" t="s">
        <v>335</v>
      </c>
      <c r="C16" s="107"/>
      <c r="D16" s="584">
        <v>150</v>
      </c>
      <c r="E16" s="666">
        <f>+'8.1.1. sz. mell.'!E16+'8.1.2. sz. mell.'!E16+'8.1.3. sz. mell.'!E16</f>
        <v>133</v>
      </c>
    </row>
    <row r="17" spans="1:5" s="514" customFormat="1" ht="12" customHeight="1">
      <c r="A17" s="564" t="s">
        <v>85</v>
      </c>
      <c r="B17" s="340" t="s">
        <v>337</v>
      </c>
      <c r="C17" s="416"/>
      <c r="D17" s="583"/>
      <c r="E17" s="666">
        <f>+'8.1.1. sz. mell.'!E17+'8.1.2. sz. mell.'!E17+'8.1.3. sz. mell.'!E17</f>
        <v>0</v>
      </c>
    </row>
    <row r="18" spans="1:5" s="541" customFormat="1" ht="12" customHeight="1" thickBot="1">
      <c r="A18" s="564" t="s">
        <v>86</v>
      </c>
      <c r="B18" s="339" t="s">
        <v>339</v>
      </c>
      <c r="C18" s="418"/>
      <c r="D18" s="116">
        <v>21000</v>
      </c>
      <c r="E18" s="665">
        <f>+'8.1.1. sz. mell.'!E18+'8.1.2. sz. mell.'!E18+'8.1.3. sz. mell.'!E18</f>
        <v>15575</v>
      </c>
    </row>
    <row r="19" spans="1:5" s="541" customFormat="1" ht="12" customHeight="1" thickBot="1">
      <c r="A19" s="488" t="s">
        <v>8</v>
      </c>
      <c r="B19" s="552" t="s">
        <v>552</v>
      </c>
      <c r="C19" s="419">
        <f>SUM(C20:C22)</f>
        <v>0</v>
      </c>
      <c r="D19" s="581">
        <f>SUM(D20:D22)</f>
        <v>0</v>
      </c>
      <c r="E19" s="558">
        <f>+'8.1.1. sz. mell.'!E19+'8.1.2. sz. mell.'!E19+'8.1.3. sz. mell.'!E19</f>
        <v>0</v>
      </c>
    </row>
    <row r="20" spans="1:5" s="541" customFormat="1" ht="12" customHeight="1">
      <c r="A20" s="564" t="s">
        <v>77</v>
      </c>
      <c r="B20" s="341" t="s">
        <v>309</v>
      </c>
      <c r="C20" s="416"/>
      <c r="D20" s="583"/>
      <c r="E20" s="664">
        <f>+'8.1.1. sz. mell.'!E20+'8.1.2. sz. mell.'!E20+'8.1.3. sz. mell.'!E20</f>
        <v>0</v>
      </c>
    </row>
    <row r="21" spans="1:5" s="541" customFormat="1" ht="12" customHeight="1">
      <c r="A21" s="564" t="s">
        <v>78</v>
      </c>
      <c r="B21" s="340" t="s">
        <v>553</v>
      </c>
      <c r="C21" s="416"/>
      <c r="D21" s="583"/>
      <c r="E21" s="666">
        <f>+'8.1.1. sz. mell.'!E21+'8.1.2. sz. mell.'!E21+'8.1.3. sz. mell.'!E21</f>
        <v>0</v>
      </c>
    </row>
    <row r="22" spans="1:5" s="541" customFormat="1" ht="12" customHeight="1">
      <c r="A22" s="564" t="s">
        <v>79</v>
      </c>
      <c r="B22" s="340" t="s">
        <v>554</v>
      </c>
      <c r="C22" s="416"/>
      <c r="D22" s="583"/>
      <c r="E22" s="666">
        <f>+'8.1.1. sz. mell.'!E22+'8.1.2. sz. mell.'!E22+'8.1.3. sz. mell.'!E22</f>
        <v>0</v>
      </c>
    </row>
    <row r="23" spans="1:5" s="514" customFormat="1" ht="12" customHeight="1" thickBot="1">
      <c r="A23" s="564" t="s">
        <v>80</v>
      </c>
      <c r="B23" s="340" t="s">
        <v>671</v>
      </c>
      <c r="C23" s="416"/>
      <c r="D23" s="583"/>
      <c r="E23" s="665">
        <f>+'8.1.1. sz. mell.'!E23+'8.1.2. sz. mell.'!E23+'8.1.3. sz. mell.'!E23</f>
        <v>0</v>
      </c>
    </row>
    <row r="24" spans="1:5" s="514" customFormat="1" ht="12" customHeight="1" thickBot="1">
      <c r="A24" s="551" t="s">
        <v>9</v>
      </c>
      <c r="B24" s="360" t="s">
        <v>124</v>
      </c>
      <c r="C24" s="41"/>
      <c r="D24" s="585"/>
      <c r="E24" s="558">
        <f>+'8.1.1. sz. mell.'!E24+'8.1.2. sz. mell.'!E24+'8.1.3. sz. mell.'!E24</f>
        <v>0</v>
      </c>
    </row>
    <row r="25" spans="1:5" s="514" customFormat="1" ht="12" customHeight="1" thickBot="1">
      <c r="A25" s="551" t="s">
        <v>10</v>
      </c>
      <c r="B25" s="360" t="s">
        <v>555</v>
      </c>
      <c r="C25" s="419">
        <f>+C26+C27</f>
        <v>0</v>
      </c>
      <c r="D25" s="581">
        <f>+D26+D27</f>
        <v>0</v>
      </c>
      <c r="E25" s="558">
        <f>+'8.1.1. sz. mell.'!E25+'8.1.2. sz. mell.'!E25+'8.1.3. sz. mell.'!E25</f>
        <v>0</v>
      </c>
    </row>
    <row r="26" spans="1:5" s="514" customFormat="1" ht="12" customHeight="1">
      <c r="A26" s="565" t="s">
        <v>322</v>
      </c>
      <c r="B26" s="566" t="s">
        <v>553</v>
      </c>
      <c r="C26" s="103"/>
      <c r="D26" s="572"/>
      <c r="E26" s="664">
        <f>+'8.1.1. sz. mell.'!E26+'8.1.2. sz. mell.'!E26+'8.1.3. sz. mell.'!E26</f>
        <v>0</v>
      </c>
    </row>
    <row r="27" spans="1:5" s="514" customFormat="1" ht="12" customHeight="1">
      <c r="A27" s="565" t="s">
        <v>323</v>
      </c>
      <c r="B27" s="567" t="s">
        <v>556</v>
      </c>
      <c r="C27" s="420"/>
      <c r="D27" s="586"/>
      <c r="E27" s="666">
        <f>+'8.1.1. sz. mell.'!E27+'8.1.2. sz. mell.'!E27+'8.1.3. sz. mell.'!E27</f>
        <v>0</v>
      </c>
    </row>
    <row r="28" spans="1:5" s="514" customFormat="1" ht="12" customHeight="1" thickBot="1">
      <c r="A28" s="564" t="s">
        <v>324</v>
      </c>
      <c r="B28" s="568" t="s">
        <v>672</v>
      </c>
      <c r="C28" s="548"/>
      <c r="D28" s="587"/>
      <c r="E28" s="665">
        <f>+'8.1.1. sz. mell.'!E28+'8.1.2. sz. mell.'!E28+'8.1.3. sz. mell.'!E28</f>
        <v>0</v>
      </c>
    </row>
    <row r="29" spans="1:5" s="514" customFormat="1" ht="12" customHeight="1" thickBot="1">
      <c r="A29" s="551" t="s">
        <v>11</v>
      </c>
      <c r="B29" s="360" t="s">
        <v>557</v>
      </c>
      <c r="C29" s="419">
        <f>+C30+C31+C32</f>
        <v>0</v>
      </c>
      <c r="D29" s="581">
        <f>+D30+D31+D32</f>
        <v>1496062</v>
      </c>
      <c r="E29" s="558">
        <f>+'8.1.1. sz. mell.'!E29+'8.1.2. sz. mell.'!E29+'8.1.3. sz. mell.'!E29</f>
        <v>1417322</v>
      </c>
    </row>
    <row r="30" spans="1:5" s="514" customFormat="1" ht="12" customHeight="1">
      <c r="A30" s="565" t="s">
        <v>64</v>
      </c>
      <c r="B30" s="566" t="s">
        <v>341</v>
      </c>
      <c r="C30" s="103"/>
      <c r="D30" s="572"/>
      <c r="E30" s="664">
        <f>+'8.1.1. sz. mell.'!E30+'8.1.2. sz. mell.'!E30+'8.1.3. sz. mell.'!E30</f>
        <v>0</v>
      </c>
    </row>
    <row r="31" spans="1:5" s="514" customFormat="1" ht="12" customHeight="1">
      <c r="A31" s="565" t="s">
        <v>65</v>
      </c>
      <c r="B31" s="567" t="s">
        <v>342</v>
      </c>
      <c r="C31" s="420"/>
      <c r="D31" s="586"/>
      <c r="E31" s="666">
        <f>+'8.1.1. sz. mell.'!E31+'8.1.2. sz. mell.'!E31+'8.1.3. sz. mell.'!E31</f>
        <v>0</v>
      </c>
    </row>
    <row r="32" spans="1:5" s="514" customFormat="1" ht="12" customHeight="1" thickBot="1">
      <c r="A32" s="564" t="s">
        <v>66</v>
      </c>
      <c r="B32" s="550" t="s">
        <v>344</v>
      </c>
      <c r="C32" s="548"/>
      <c r="D32" s="587">
        <v>1496062</v>
      </c>
      <c r="E32" s="665">
        <f>+'8.1.1. sz. mell.'!E32+'8.1.2. sz. mell.'!E32+'8.1.3. sz. mell.'!E32</f>
        <v>1417322</v>
      </c>
    </row>
    <row r="33" spans="1:5" s="514" customFormat="1" ht="12" customHeight="1" thickBot="1">
      <c r="A33" s="551" t="s">
        <v>12</v>
      </c>
      <c r="B33" s="360" t="s">
        <v>469</v>
      </c>
      <c r="C33" s="41"/>
      <c r="D33" s="585"/>
      <c r="E33" s="558">
        <f>+'8.1.1. sz. mell.'!E33+'8.1.2. sz. mell.'!E33+'8.1.3. sz. mell.'!E33</f>
        <v>0</v>
      </c>
    </row>
    <row r="34" spans="1:5" s="514" customFormat="1" ht="12" customHeight="1" thickBot="1">
      <c r="A34" s="551" t="s">
        <v>13</v>
      </c>
      <c r="B34" s="360" t="s">
        <v>558</v>
      </c>
      <c r="C34" s="41"/>
      <c r="D34" s="585"/>
      <c r="E34" s="558">
        <f>+'8.1.1. sz. mell.'!E34+'8.1.2. sz. mell.'!E34+'8.1.3. sz. mell.'!E34</f>
        <v>0</v>
      </c>
    </row>
    <row r="35" spans="1:5" s="514" customFormat="1" ht="12" customHeight="1" thickBot="1">
      <c r="A35" s="488" t="s">
        <v>14</v>
      </c>
      <c r="B35" s="360" t="s">
        <v>559</v>
      </c>
      <c r="C35" s="419">
        <f>+C8+C19+C24+C25+C29+C33+C34</f>
        <v>51273000</v>
      </c>
      <c r="D35" s="581">
        <f>+D8+D19+D24+D25+D29+D33+D34</f>
        <v>62464152</v>
      </c>
      <c r="E35" s="558">
        <f>+'8.1.1. sz. mell.'!E35+'8.1.2. sz. mell.'!E35+'8.1.3. sz. mell.'!E35</f>
        <v>72049464</v>
      </c>
    </row>
    <row r="36" spans="1:5" s="541" customFormat="1" ht="12" customHeight="1" thickBot="1">
      <c r="A36" s="553" t="s">
        <v>15</v>
      </c>
      <c r="B36" s="360" t="s">
        <v>560</v>
      </c>
      <c r="C36" s="419">
        <f>+C37+C38+C39</f>
        <v>211017000</v>
      </c>
      <c r="D36" s="581">
        <f>+D37+D38+D39</f>
        <v>215593775</v>
      </c>
      <c r="E36" s="558">
        <f>+'8.1.1. sz. mell.'!E36+'8.1.2. sz. mell.'!E36+'8.1.3. sz. mell.'!E36</f>
        <v>160846012</v>
      </c>
    </row>
    <row r="37" spans="1:5" s="541" customFormat="1" ht="15" customHeight="1">
      <c r="A37" s="565" t="s">
        <v>561</v>
      </c>
      <c r="B37" s="566" t="s">
        <v>165</v>
      </c>
      <c r="C37" s="103"/>
      <c r="D37" s="572">
        <v>1020656</v>
      </c>
      <c r="E37" s="664">
        <f>+'8.1.1. sz. mell.'!E37+'8.1.2. sz. mell.'!E37+'8.1.3. sz. mell.'!E37</f>
        <v>1020656</v>
      </c>
    </row>
    <row r="38" spans="1:5" s="541" customFormat="1" ht="15" customHeight="1">
      <c r="A38" s="565" t="s">
        <v>562</v>
      </c>
      <c r="B38" s="567" t="s">
        <v>3</v>
      </c>
      <c r="C38" s="420"/>
      <c r="D38" s="586">
        <v>582968</v>
      </c>
      <c r="E38" s="666">
        <f>+'8.1.1. sz. mell.'!E38+'8.1.2. sz. mell.'!E38+'8.1.3. sz. mell.'!E38</f>
        <v>582968</v>
      </c>
    </row>
    <row r="39" spans="1:5" ht="13.5" thickBot="1">
      <c r="A39" s="564" t="s">
        <v>563</v>
      </c>
      <c r="B39" s="550" t="s">
        <v>564</v>
      </c>
      <c r="C39" s="548">
        <v>211017000</v>
      </c>
      <c r="D39" s="587">
        <v>213990151</v>
      </c>
      <c r="E39" s="665">
        <f>+'8.1.1. sz. mell.'!E39+'8.1.2. sz. mell.'!E39+'8.1.3. sz. mell.'!E39</f>
        <v>159242388</v>
      </c>
    </row>
    <row r="40" spans="1:5" s="540" customFormat="1" ht="16.5" customHeight="1" thickBot="1">
      <c r="A40" s="553" t="s">
        <v>16</v>
      </c>
      <c r="B40" s="554" t="s">
        <v>565</v>
      </c>
      <c r="C40" s="109">
        <f>+C35+C36</f>
        <v>262290000</v>
      </c>
      <c r="D40" s="588">
        <f>+D35+D36</f>
        <v>278057927</v>
      </c>
      <c r="E40" s="558">
        <f>+'8.1.1. sz. mell.'!E40+'8.1.2. sz. mell.'!E40+'8.1.3. sz. mell.'!E40</f>
        <v>232895476</v>
      </c>
    </row>
    <row r="41" spans="1:5" s="315" customFormat="1" ht="12" customHeight="1">
      <c r="A41" s="496"/>
      <c r="B41" s="497"/>
      <c r="C41" s="512"/>
      <c r="D41" s="512"/>
      <c r="E41" s="512"/>
    </row>
    <row r="42" spans="1:5" ht="12" customHeight="1" thickBot="1">
      <c r="A42" s="498"/>
      <c r="B42" s="499"/>
      <c r="C42" s="513"/>
      <c r="D42" s="513"/>
      <c r="E42" s="513"/>
    </row>
    <row r="43" spans="1:5" ht="12" customHeight="1" thickBot="1">
      <c r="A43" s="863" t="s">
        <v>43</v>
      </c>
      <c r="B43" s="864"/>
      <c r="C43" s="864"/>
      <c r="D43" s="864"/>
      <c r="E43" s="865"/>
    </row>
    <row r="44" spans="1:5" ht="12" customHeight="1" thickBot="1">
      <c r="A44" s="551" t="s">
        <v>7</v>
      </c>
      <c r="B44" s="360" t="s">
        <v>566</v>
      </c>
      <c r="C44" s="419">
        <f>SUM(C45:C49)</f>
        <v>262090000</v>
      </c>
      <c r="D44" s="419">
        <f>SUM(D45:D49)</f>
        <v>273071957</v>
      </c>
      <c r="E44" s="558">
        <f>+'8.1.1. sz. mell.'!E44+'8.1.2. sz. mell.'!E44+'8.1.3. sz. mell.'!E44</f>
        <v>231496453</v>
      </c>
    </row>
    <row r="45" spans="1:5" ht="12" customHeight="1">
      <c r="A45" s="564" t="s">
        <v>71</v>
      </c>
      <c r="B45" s="341" t="s">
        <v>37</v>
      </c>
      <c r="C45" s="103">
        <v>77580000</v>
      </c>
      <c r="D45" s="103">
        <v>80687430</v>
      </c>
      <c r="E45" s="664">
        <f>+'8.1.1. sz. mell.'!E45+'8.1.2. sz. mell.'!E45+'8.1.3. sz. mell.'!E45</f>
        <v>70957665</v>
      </c>
    </row>
    <row r="46" spans="1:5" ht="12" customHeight="1">
      <c r="A46" s="564" t="s">
        <v>72</v>
      </c>
      <c r="B46" s="340" t="s">
        <v>133</v>
      </c>
      <c r="C46" s="413">
        <v>20997000</v>
      </c>
      <c r="D46" s="413">
        <v>22286090</v>
      </c>
      <c r="E46" s="666">
        <f>+'8.1.1. sz. mell.'!E46+'8.1.2. sz. mell.'!E46+'8.1.3. sz. mell.'!E46</f>
        <v>19499202</v>
      </c>
    </row>
    <row r="47" spans="1:5" ht="12" customHeight="1">
      <c r="A47" s="564" t="s">
        <v>73</v>
      </c>
      <c r="B47" s="340" t="s">
        <v>100</v>
      </c>
      <c r="C47" s="413">
        <v>163513000</v>
      </c>
      <c r="D47" s="413">
        <v>170040140</v>
      </c>
      <c r="E47" s="666">
        <f>+'8.1.1. sz. mell.'!E47+'8.1.2. sz. mell.'!E47+'8.1.3. sz. mell.'!E47</f>
        <v>141039586</v>
      </c>
    </row>
    <row r="48" spans="1:5" s="315" customFormat="1" ht="12" customHeight="1">
      <c r="A48" s="564" t="s">
        <v>74</v>
      </c>
      <c r="B48" s="340" t="s">
        <v>134</v>
      </c>
      <c r="C48" s="413"/>
      <c r="D48" s="413"/>
      <c r="E48" s="666">
        <f>+'8.1.1. sz. mell.'!E48+'8.1.2. sz. mell.'!E48+'8.1.3. sz. mell.'!E48</f>
        <v>0</v>
      </c>
    </row>
    <row r="49" spans="1:5" ht="12" customHeight="1" thickBot="1">
      <c r="A49" s="564" t="s">
        <v>107</v>
      </c>
      <c r="B49" s="340" t="s">
        <v>135</v>
      </c>
      <c r="C49" s="413"/>
      <c r="D49" s="413">
        <v>58297</v>
      </c>
      <c r="E49" s="665">
        <f>+'8.1.1. sz. mell.'!E49+'8.1.2. sz. mell.'!E49+'8.1.3. sz. mell.'!E49</f>
        <v>0</v>
      </c>
    </row>
    <row r="50" spans="1:5" ht="12" customHeight="1" thickBot="1">
      <c r="A50" s="551" t="s">
        <v>8</v>
      </c>
      <c r="B50" s="360" t="s">
        <v>567</v>
      </c>
      <c r="C50" s="419">
        <f>SUM(C51:C53)</f>
        <v>200000</v>
      </c>
      <c r="D50" s="419">
        <f>SUM(D51:D53)</f>
        <v>4985970</v>
      </c>
      <c r="E50" s="558">
        <f>+'8.1.1. sz. mell.'!E50+'8.1.2. sz. mell.'!E50+'8.1.3. sz. mell.'!E50</f>
        <v>4800335</v>
      </c>
    </row>
    <row r="51" spans="1:5" ht="12" customHeight="1">
      <c r="A51" s="564" t="s">
        <v>77</v>
      </c>
      <c r="B51" s="341" t="s">
        <v>155</v>
      </c>
      <c r="C51" s="103"/>
      <c r="D51" s="103">
        <v>3293000</v>
      </c>
      <c r="E51" s="664">
        <f>+'8.1.1. sz. mell.'!E51+'8.1.2. sz. mell.'!E51+'8.1.3. sz. mell.'!E51</f>
        <v>3107365</v>
      </c>
    </row>
    <row r="52" spans="1:5" ht="12" customHeight="1">
      <c r="A52" s="564" t="s">
        <v>78</v>
      </c>
      <c r="B52" s="340" t="s">
        <v>137</v>
      </c>
      <c r="C52" s="413">
        <v>200000</v>
      </c>
      <c r="D52" s="413">
        <v>1692970</v>
      </c>
      <c r="E52" s="666">
        <f>+'8.1.1. sz. mell.'!E52+'8.1.2. sz. mell.'!E52+'8.1.3. sz. mell.'!E52</f>
        <v>1692970</v>
      </c>
    </row>
    <row r="53" spans="1:5" ht="15" customHeight="1">
      <c r="A53" s="564" t="s">
        <v>79</v>
      </c>
      <c r="B53" s="340" t="s">
        <v>44</v>
      </c>
      <c r="C53" s="413"/>
      <c r="D53" s="413"/>
      <c r="E53" s="666">
        <f>+'8.1.1. sz. mell.'!E53+'8.1.2. sz. mell.'!E53+'8.1.3. sz. mell.'!E53</f>
        <v>0</v>
      </c>
    </row>
    <row r="54" spans="1:5" ht="13.5" thickBot="1">
      <c r="A54" s="564" t="s">
        <v>80</v>
      </c>
      <c r="B54" s="340" t="s">
        <v>673</v>
      </c>
      <c r="C54" s="413"/>
      <c r="D54" s="413"/>
      <c r="E54" s="665">
        <f>+'8.1.1. sz. mell.'!E54+'8.1.2. sz. mell.'!E54+'8.1.3. sz. mell.'!E54</f>
        <v>0</v>
      </c>
    </row>
    <row r="55" spans="1:5" ht="15" customHeight="1" thickBot="1">
      <c r="A55" s="551" t="s">
        <v>9</v>
      </c>
      <c r="B55" s="555" t="s">
        <v>568</v>
      </c>
      <c r="C55" s="109">
        <f>+C44+C50</f>
        <v>262290000</v>
      </c>
      <c r="D55" s="109">
        <f>+D44+D50</f>
        <v>278057927</v>
      </c>
      <c r="E55" s="558">
        <f>+'8.1.1. sz. mell.'!E55+'8.1.2. sz. mell.'!E55+'8.1.3. sz. mell.'!E55</f>
        <v>236296788</v>
      </c>
    </row>
    <row r="56" spans="1:5" ht="13.5" thickBot="1">
      <c r="C56" s="560"/>
      <c r="D56" s="560"/>
      <c r="E56" s="560"/>
    </row>
    <row r="57" spans="1:5" ht="13.5" thickBot="1">
      <c r="A57" s="647" t="s">
        <v>729</v>
      </c>
      <c r="B57" s="648"/>
      <c r="C57" s="113"/>
      <c r="D57" s="113"/>
      <c r="E57" s="549">
        <f>+'8.1.1. sz. mell.'!E57+'8.1.2. sz. mell.'!E57+'8.1.3. sz. mell.'!E57</f>
        <v>59</v>
      </c>
    </row>
    <row r="58" spans="1:5" ht="13.5" thickBot="1">
      <c r="A58" s="649" t="s">
        <v>728</v>
      </c>
      <c r="B58" s="650"/>
      <c r="C58" s="113"/>
      <c r="D58" s="113"/>
      <c r="E58" s="549">
        <f>+'8.1.1. sz. mell.'!E58+'8.1.2. sz. mell.'!E58+'8.1.3. sz. mell.'!E58</f>
        <v>0</v>
      </c>
    </row>
  </sheetData>
  <sheetProtection formatCells="0"/>
  <mergeCells count="4">
    <mergeCell ref="A7:E7"/>
    <mergeCell ref="A43:E43"/>
    <mergeCell ref="B2:D2"/>
    <mergeCell ref="B3:D3"/>
  </mergeCells>
  <phoneticPr fontId="27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92D050"/>
  </sheetPr>
  <dimension ref="A1:E58"/>
  <sheetViews>
    <sheetView zoomScaleNormal="100" zoomScaleSheetLayoutView="145" workbookViewId="0">
      <selection activeCell="E2" sqref="E2"/>
    </sheetView>
  </sheetViews>
  <sheetFormatPr defaultRowHeight="12.75"/>
  <cols>
    <col min="1" max="1" width="18.6640625" style="556" customWidth="1"/>
    <col min="2" max="2" width="62" style="32" customWidth="1"/>
    <col min="3" max="5" width="15.83203125" style="32" customWidth="1"/>
    <col min="6" max="16384" width="9.33203125" style="32"/>
  </cols>
  <sheetData>
    <row r="1" spans="1:5" s="491" customFormat="1" ht="21" customHeight="1" thickBot="1">
      <c r="A1" s="490"/>
      <c r="B1" s="492"/>
      <c r="C1" s="537"/>
      <c r="D1" s="537"/>
      <c r="E1" s="630" t="str">
        <f>+CONCATENATE("8.1.1. melléklet a 15/",LEFT(ÖSSZEFÜGGÉSEK!A4,4)+1,". (V. 30.) önkormányzati rendelethez")</f>
        <v>8.1.1. melléklet a 15/2017. (V. 30.) önkormányzati rendelethez</v>
      </c>
    </row>
    <row r="2" spans="1:5" s="538" customFormat="1" ht="25.5" customHeight="1">
      <c r="A2" s="518" t="s">
        <v>147</v>
      </c>
      <c r="B2" s="866" t="s">
        <v>733</v>
      </c>
      <c r="C2" s="867"/>
      <c r="D2" s="868"/>
      <c r="E2" s="561" t="s">
        <v>48</v>
      </c>
    </row>
    <row r="3" spans="1:5" s="538" customFormat="1" ht="24.75" thickBot="1">
      <c r="A3" s="536" t="s">
        <v>146</v>
      </c>
      <c r="B3" s="869" t="s">
        <v>678</v>
      </c>
      <c r="C3" s="872"/>
      <c r="D3" s="873"/>
      <c r="E3" s="562" t="s">
        <v>47</v>
      </c>
    </row>
    <row r="4" spans="1:5" s="539" customFormat="1" ht="15.95" customHeight="1" thickBot="1">
      <c r="A4" s="493"/>
      <c r="B4" s="493"/>
      <c r="C4" s="494"/>
      <c r="D4" s="494"/>
      <c r="E4" s="494" t="s">
        <v>769</v>
      </c>
    </row>
    <row r="5" spans="1:5" ht="24.75" thickBot="1">
      <c r="A5" s="325" t="s">
        <v>148</v>
      </c>
      <c r="B5" s="326" t="s">
        <v>727</v>
      </c>
      <c r="C5" s="97" t="s">
        <v>178</v>
      </c>
      <c r="D5" s="97" t="s">
        <v>183</v>
      </c>
      <c r="E5" s="495" t="s">
        <v>184</v>
      </c>
    </row>
    <row r="6" spans="1:5" s="540" customFormat="1" ht="12.95" customHeight="1" thickBot="1">
      <c r="A6" s="488" t="s">
        <v>409</v>
      </c>
      <c r="B6" s="489" t="s">
        <v>410</v>
      </c>
      <c r="C6" s="489" t="s">
        <v>411</v>
      </c>
      <c r="D6" s="112" t="s">
        <v>412</v>
      </c>
      <c r="E6" s="110" t="s">
        <v>413</v>
      </c>
    </row>
    <row r="7" spans="1:5" s="540" customFormat="1" ht="15.95" customHeight="1" thickBot="1">
      <c r="A7" s="863" t="s">
        <v>42</v>
      </c>
      <c r="B7" s="864"/>
      <c r="C7" s="864"/>
      <c r="D7" s="864"/>
      <c r="E7" s="865"/>
    </row>
    <row r="8" spans="1:5" s="514" customFormat="1" ht="12" customHeight="1" thickBot="1">
      <c r="A8" s="488" t="s">
        <v>7</v>
      </c>
      <c r="B8" s="552" t="s">
        <v>549</v>
      </c>
      <c r="C8" s="419">
        <f>SUM(C9:C18)</f>
        <v>16528000</v>
      </c>
      <c r="D8" s="581">
        <f>SUM(D9:D18)</f>
        <v>18223090</v>
      </c>
      <c r="E8" s="558">
        <f>SUM(E9:E18)</f>
        <v>51954920</v>
      </c>
    </row>
    <row r="9" spans="1:5" s="514" customFormat="1" ht="12" customHeight="1">
      <c r="A9" s="563" t="s">
        <v>71</v>
      </c>
      <c r="B9" s="342" t="s">
        <v>328</v>
      </c>
      <c r="C9" s="106"/>
      <c r="D9" s="582"/>
      <c r="E9" s="547">
        <f>6133799-'8.1.2. sz. mell.'!E9</f>
        <v>0</v>
      </c>
    </row>
    <row r="10" spans="1:5" s="514" customFormat="1" ht="12" customHeight="1">
      <c r="A10" s="564" t="s">
        <v>72</v>
      </c>
      <c r="B10" s="340" t="s">
        <v>329</v>
      </c>
      <c r="C10" s="416">
        <v>8200000</v>
      </c>
      <c r="D10" s="583">
        <v>9725000</v>
      </c>
      <c r="E10" s="115">
        <f>17763109-'8.1.2. sz. mell.'!E10</f>
        <v>17763109</v>
      </c>
    </row>
    <row r="11" spans="1:5" s="514" customFormat="1" ht="12" customHeight="1">
      <c r="A11" s="564" t="s">
        <v>73</v>
      </c>
      <c r="B11" s="340" t="s">
        <v>330</v>
      </c>
      <c r="C11" s="416">
        <v>525000</v>
      </c>
      <c r="D11" s="583"/>
      <c r="E11" s="115"/>
    </row>
    <row r="12" spans="1:5" s="514" customFormat="1" ht="12" customHeight="1">
      <c r="A12" s="564" t="s">
        <v>74</v>
      </c>
      <c r="B12" s="340" t="s">
        <v>331</v>
      </c>
      <c r="C12" s="416"/>
      <c r="D12" s="583"/>
      <c r="E12" s="115"/>
    </row>
    <row r="13" spans="1:5" s="514" customFormat="1" ht="12" customHeight="1">
      <c r="A13" s="564" t="s">
        <v>107</v>
      </c>
      <c r="B13" s="340" t="s">
        <v>332</v>
      </c>
      <c r="C13" s="416">
        <v>4868000</v>
      </c>
      <c r="D13" s="583">
        <v>4868000</v>
      </c>
      <c r="E13" s="115">
        <f>31941187-'8.1.2. sz. mell.'!E13</f>
        <v>23368586</v>
      </c>
    </row>
    <row r="14" spans="1:5" s="514" customFormat="1" ht="12" customHeight="1">
      <c r="A14" s="564" t="s">
        <v>75</v>
      </c>
      <c r="B14" s="340" t="s">
        <v>550</v>
      </c>
      <c r="C14" s="416">
        <v>2935000</v>
      </c>
      <c r="D14" s="583">
        <v>3608940</v>
      </c>
      <c r="E14" s="115">
        <f>14778339-'8.1.2. sz. mell.'!E14</f>
        <v>10807517</v>
      </c>
    </row>
    <row r="15" spans="1:5" s="541" customFormat="1" ht="12" customHeight="1">
      <c r="A15" s="564" t="s">
        <v>76</v>
      </c>
      <c r="B15" s="339" t="s">
        <v>551</v>
      </c>
      <c r="C15" s="416"/>
      <c r="D15" s="583"/>
      <c r="E15" s="115"/>
    </row>
    <row r="16" spans="1:5" s="541" customFormat="1" ht="12" customHeight="1">
      <c r="A16" s="564" t="s">
        <v>84</v>
      </c>
      <c r="B16" s="340" t="s">
        <v>335</v>
      </c>
      <c r="C16" s="107"/>
      <c r="D16" s="584">
        <v>150</v>
      </c>
      <c r="E16" s="546">
        <v>133</v>
      </c>
    </row>
    <row r="17" spans="1:5" s="514" customFormat="1" ht="12" customHeight="1">
      <c r="A17" s="564" t="s">
        <v>85</v>
      </c>
      <c r="B17" s="340" t="s">
        <v>337</v>
      </c>
      <c r="C17" s="416"/>
      <c r="D17" s="583"/>
      <c r="E17" s="115"/>
    </row>
    <row r="18" spans="1:5" s="541" customFormat="1" ht="12" customHeight="1" thickBot="1">
      <c r="A18" s="564" t="s">
        <v>86</v>
      </c>
      <c r="B18" s="339" t="s">
        <v>339</v>
      </c>
      <c r="C18" s="418"/>
      <c r="D18" s="116">
        <v>21000</v>
      </c>
      <c r="E18" s="542">
        <v>15575</v>
      </c>
    </row>
    <row r="19" spans="1:5" s="541" customFormat="1" ht="12" customHeight="1" thickBot="1">
      <c r="A19" s="488" t="s">
        <v>8</v>
      </c>
      <c r="B19" s="552" t="s">
        <v>552</v>
      </c>
      <c r="C19" s="419">
        <f>SUM(C20:C22)</f>
        <v>0</v>
      </c>
      <c r="D19" s="581">
        <f>SUM(D20:D22)</f>
        <v>0</v>
      </c>
      <c r="E19" s="558">
        <f>SUM(E20:E22)</f>
        <v>0</v>
      </c>
    </row>
    <row r="20" spans="1:5" s="541" customFormat="1" ht="12" customHeight="1">
      <c r="A20" s="564" t="s">
        <v>77</v>
      </c>
      <c r="B20" s="341" t="s">
        <v>309</v>
      </c>
      <c r="C20" s="416"/>
      <c r="D20" s="583"/>
      <c r="E20" s="115"/>
    </row>
    <row r="21" spans="1:5" s="541" customFormat="1" ht="12" customHeight="1">
      <c r="A21" s="564" t="s">
        <v>78</v>
      </c>
      <c r="B21" s="340" t="s">
        <v>553</v>
      </c>
      <c r="C21" s="416"/>
      <c r="D21" s="583"/>
      <c r="E21" s="115"/>
    </row>
    <row r="22" spans="1:5" s="541" customFormat="1" ht="12" customHeight="1">
      <c r="A22" s="564" t="s">
        <v>79</v>
      </c>
      <c r="B22" s="340" t="s">
        <v>554</v>
      </c>
      <c r="C22" s="416"/>
      <c r="D22" s="583"/>
      <c r="E22" s="115"/>
    </row>
    <row r="23" spans="1:5" s="514" customFormat="1" ht="12" customHeight="1" thickBot="1">
      <c r="A23" s="564" t="s">
        <v>80</v>
      </c>
      <c r="B23" s="340" t="s">
        <v>671</v>
      </c>
      <c r="C23" s="416"/>
      <c r="D23" s="583"/>
      <c r="E23" s="115"/>
    </row>
    <row r="24" spans="1:5" s="514" customFormat="1" ht="12" customHeight="1" thickBot="1">
      <c r="A24" s="551" t="s">
        <v>9</v>
      </c>
      <c r="B24" s="360" t="s">
        <v>124</v>
      </c>
      <c r="C24" s="41"/>
      <c r="D24" s="585"/>
      <c r="E24" s="557"/>
    </row>
    <row r="25" spans="1:5" s="514" customFormat="1" ht="12" customHeight="1" thickBot="1">
      <c r="A25" s="551" t="s">
        <v>10</v>
      </c>
      <c r="B25" s="360" t="s">
        <v>555</v>
      </c>
      <c r="C25" s="419">
        <f>+C26+C27</f>
        <v>0</v>
      </c>
      <c r="D25" s="581">
        <f>+D26+D27</f>
        <v>0</v>
      </c>
      <c r="E25" s="558">
        <f>+E26+E27</f>
        <v>0</v>
      </c>
    </row>
    <row r="26" spans="1:5" s="514" customFormat="1" ht="12" customHeight="1">
      <c r="A26" s="565" t="s">
        <v>322</v>
      </c>
      <c r="B26" s="566" t="s">
        <v>553</v>
      </c>
      <c r="C26" s="103"/>
      <c r="D26" s="572"/>
      <c r="E26" s="545"/>
    </row>
    <row r="27" spans="1:5" s="514" customFormat="1" ht="12" customHeight="1">
      <c r="A27" s="565" t="s">
        <v>323</v>
      </c>
      <c r="B27" s="567" t="s">
        <v>556</v>
      </c>
      <c r="C27" s="420"/>
      <c r="D27" s="586"/>
      <c r="E27" s="544"/>
    </row>
    <row r="28" spans="1:5" s="514" customFormat="1" ht="12" customHeight="1" thickBot="1">
      <c r="A28" s="564" t="s">
        <v>324</v>
      </c>
      <c r="B28" s="568" t="s">
        <v>672</v>
      </c>
      <c r="C28" s="548"/>
      <c r="D28" s="587"/>
      <c r="E28" s="543"/>
    </row>
    <row r="29" spans="1:5" s="514" customFormat="1" ht="12" customHeight="1" thickBot="1">
      <c r="A29" s="551" t="s">
        <v>11</v>
      </c>
      <c r="B29" s="360" t="s">
        <v>557</v>
      </c>
      <c r="C29" s="419">
        <f>+C30+C31+C32</f>
        <v>0</v>
      </c>
      <c r="D29" s="581">
        <f>+D30+D31+D32</f>
        <v>1496062</v>
      </c>
      <c r="E29" s="558">
        <f>+E30+E31+E32</f>
        <v>1417322</v>
      </c>
    </row>
    <row r="30" spans="1:5" s="514" customFormat="1" ht="12" customHeight="1">
      <c r="A30" s="565" t="s">
        <v>64</v>
      </c>
      <c r="B30" s="566" t="s">
        <v>341</v>
      </c>
      <c r="C30" s="103"/>
      <c r="D30" s="572"/>
      <c r="E30" s="545"/>
    </row>
    <row r="31" spans="1:5" s="514" customFormat="1" ht="12" customHeight="1">
      <c r="A31" s="565" t="s">
        <v>65</v>
      </c>
      <c r="B31" s="567" t="s">
        <v>342</v>
      </c>
      <c r="C31" s="420"/>
      <c r="D31" s="586"/>
      <c r="E31" s="544"/>
    </row>
    <row r="32" spans="1:5" s="514" customFormat="1" ht="12" customHeight="1" thickBot="1">
      <c r="A32" s="564" t="s">
        <v>66</v>
      </c>
      <c r="B32" s="550" t="s">
        <v>344</v>
      </c>
      <c r="C32" s="548"/>
      <c r="D32" s="587">
        <v>1496062</v>
      </c>
      <c r="E32" s="543">
        <v>1417322</v>
      </c>
    </row>
    <row r="33" spans="1:5" s="514" customFormat="1" ht="12" customHeight="1" thickBot="1">
      <c r="A33" s="551" t="s">
        <v>12</v>
      </c>
      <c r="B33" s="360" t="s">
        <v>469</v>
      </c>
      <c r="C33" s="41"/>
      <c r="D33" s="585"/>
      <c r="E33" s="557"/>
    </row>
    <row r="34" spans="1:5" s="514" customFormat="1" ht="12" customHeight="1" thickBot="1">
      <c r="A34" s="551" t="s">
        <v>13</v>
      </c>
      <c r="B34" s="360" t="s">
        <v>558</v>
      </c>
      <c r="C34" s="41"/>
      <c r="D34" s="585"/>
      <c r="E34" s="557"/>
    </row>
    <row r="35" spans="1:5" s="514" customFormat="1" ht="12" customHeight="1" thickBot="1">
      <c r="A35" s="488" t="s">
        <v>14</v>
      </c>
      <c r="B35" s="360" t="s">
        <v>559</v>
      </c>
      <c r="C35" s="419">
        <f>+C8+C19+C24+C25+C29+C33+C34</f>
        <v>16528000</v>
      </c>
      <c r="D35" s="581">
        <f>+D8+D19+D24+D25+D29+D33+D34</f>
        <v>19719152</v>
      </c>
      <c r="E35" s="558">
        <f>+E8+E19+E24+E25+E29+E33+E34</f>
        <v>53372242</v>
      </c>
    </row>
    <row r="36" spans="1:5" s="541" customFormat="1" ht="12" customHeight="1" thickBot="1">
      <c r="A36" s="553" t="s">
        <v>15</v>
      </c>
      <c r="B36" s="360" t="s">
        <v>560</v>
      </c>
      <c r="C36" s="419">
        <f>+C37+C38+C39</f>
        <v>201197000</v>
      </c>
      <c r="D36" s="581">
        <f>+D37+D38+D39</f>
        <v>209691687</v>
      </c>
      <c r="E36" s="558">
        <f>+E37+E38+E39</f>
        <v>142162004</v>
      </c>
    </row>
    <row r="37" spans="1:5" s="541" customFormat="1" ht="15" customHeight="1">
      <c r="A37" s="565" t="s">
        <v>561</v>
      </c>
      <c r="B37" s="566" t="s">
        <v>165</v>
      </c>
      <c r="C37" s="103"/>
      <c r="D37" s="572">
        <v>1020656</v>
      </c>
      <c r="E37" s="545">
        <f>1020656-'8.1.2. sz. mell.'!E37</f>
        <v>1020656</v>
      </c>
    </row>
    <row r="38" spans="1:5" s="541" customFormat="1" ht="15" customHeight="1">
      <c r="A38" s="565" t="s">
        <v>562</v>
      </c>
      <c r="B38" s="567" t="s">
        <v>3</v>
      </c>
      <c r="C38" s="420"/>
      <c r="D38" s="586"/>
      <c r="E38" s="544">
        <f>582968-'8.1.2. sz. mell.'!E38</f>
        <v>0</v>
      </c>
    </row>
    <row r="39" spans="1:5" ht="13.5" thickBot="1">
      <c r="A39" s="564" t="s">
        <v>563</v>
      </c>
      <c r="B39" s="550" t="s">
        <v>564</v>
      </c>
      <c r="C39" s="548">
        <v>201197000</v>
      </c>
      <c r="D39" s="587">
        <v>208671031</v>
      </c>
      <c r="E39" s="543">
        <f>159242388-'8.1.2. sz. mell.'!E39</f>
        <v>141141348</v>
      </c>
    </row>
    <row r="40" spans="1:5" s="540" customFormat="1" ht="16.5" customHeight="1" thickBot="1">
      <c r="A40" s="553" t="s">
        <v>16</v>
      </c>
      <c r="B40" s="554" t="s">
        <v>565</v>
      </c>
      <c r="C40" s="109">
        <f>+C35+C36</f>
        <v>217725000</v>
      </c>
      <c r="D40" s="588">
        <f>+D35+D36</f>
        <v>229410839</v>
      </c>
      <c r="E40" s="559">
        <f>+E35+E36</f>
        <v>195534246</v>
      </c>
    </row>
    <row r="41" spans="1:5" s="315" customFormat="1" ht="12" customHeight="1">
      <c r="A41" s="496"/>
      <c r="B41" s="497"/>
      <c r="C41" s="512"/>
      <c r="D41" s="512"/>
      <c r="E41" s="512"/>
    </row>
    <row r="42" spans="1:5" ht="12" customHeight="1" thickBot="1">
      <c r="A42" s="498"/>
      <c r="B42" s="499"/>
      <c r="C42" s="513"/>
      <c r="D42" s="513"/>
      <c r="E42" s="513"/>
    </row>
    <row r="43" spans="1:5" ht="12" customHeight="1" thickBot="1">
      <c r="A43" s="863" t="s">
        <v>43</v>
      </c>
      <c r="B43" s="864"/>
      <c r="C43" s="864"/>
      <c r="D43" s="864"/>
      <c r="E43" s="865"/>
    </row>
    <row r="44" spans="1:5" ht="12" customHeight="1" thickBot="1">
      <c r="A44" s="551" t="s">
        <v>7</v>
      </c>
      <c r="B44" s="360" t="s">
        <v>566</v>
      </c>
      <c r="C44" s="419">
        <f>SUM(C45:C49)</f>
        <v>217525000</v>
      </c>
      <c r="D44" s="419">
        <f>SUM(D45:D49)</f>
        <v>224424869</v>
      </c>
      <c r="E44" s="558">
        <f>SUM(E45:E49)</f>
        <v>194135223</v>
      </c>
    </row>
    <row r="45" spans="1:5" ht="12" customHeight="1">
      <c r="A45" s="564" t="s">
        <v>71</v>
      </c>
      <c r="B45" s="341" t="s">
        <v>37</v>
      </c>
      <c r="C45" s="103">
        <v>66228000</v>
      </c>
      <c r="D45" s="103">
        <v>67374430</v>
      </c>
      <c r="E45" s="545">
        <f>70957665-'8.1.2. sz. mell.'!E45</f>
        <v>61454614</v>
      </c>
    </row>
    <row r="46" spans="1:5" ht="12" customHeight="1">
      <c r="A46" s="564" t="s">
        <v>72</v>
      </c>
      <c r="B46" s="340" t="s">
        <v>133</v>
      </c>
      <c r="C46" s="413">
        <v>17932000</v>
      </c>
      <c r="D46" s="413">
        <v>18699570</v>
      </c>
      <c r="E46" s="569">
        <f>19499202-'8.1.2. sz. mell.'!E46</f>
        <v>16933376</v>
      </c>
    </row>
    <row r="47" spans="1:5" ht="12" customHeight="1">
      <c r="A47" s="564" t="s">
        <v>73</v>
      </c>
      <c r="B47" s="340" t="s">
        <v>100</v>
      </c>
      <c r="C47" s="413">
        <v>133365000</v>
      </c>
      <c r="D47" s="413">
        <v>138350869</v>
      </c>
      <c r="E47" s="569">
        <f>141039586-'8.1.2. sz. mell.'!E47</f>
        <v>115747233</v>
      </c>
    </row>
    <row r="48" spans="1:5" s="315" customFormat="1" ht="12" customHeight="1">
      <c r="A48" s="564" t="s">
        <v>74</v>
      </c>
      <c r="B48" s="340" t="s">
        <v>134</v>
      </c>
      <c r="C48" s="413"/>
      <c r="D48" s="413"/>
      <c r="E48" s="569"/>
    </row>
    <row r="49" spans="1:5" ht="12" customHeight="1" thickBot="1">
      <c r="A49" s="564" t="s">
        <v>107</v>
      </c>
      <c r="B49" s="340" t="s">
        <v>135</v>
      </c>
      <c r="C49" s="413"/>
      <c r="D49" s="413"/>
      <c r="E49" s="569"/>
    </row>
    <row r="50" spans="1:5" ht="12" customHeight="1" thickBot="1">
      <c r="A50" s="551" t="s">
        <v>8</v>
      </c>
      <c r="B50" s="360" t="s">
        <v>567</v>
      </c>
      <c r="C50" s="419">
        <f>SUM(C51:C53)</f>
        <v>200000</v>
      </c>
      <c r="D50" s="419">
        <f>SUM(D51:D53)</f>
        <v>4985970</v>
      </c>
      <c r="E50" s="558">
        <f>SUM(E51:E53)</f>
        <v>4800335</v>
      </c>
    </row>
    <row r="51" spans="1:5" ht="12" customHeight="1">
      <c r="A51" s="564" t="s">
        <v>77</v>
      </c>
      <c r="B51" s="341" t="s">
        <v>155</v>
      </c>
      <c r="C51" s="103"/>
      <c r="D51" s="103">
        <v>3293000</v>
      </c>
      <c r="E51" s="545">
        <v>3107365</v>
      </c>
    </row>
    <row r="52" spans="1:5" ht="12" customHeight="1">
      <c r="A52" s="564" t="s">
        <v>78</v>
      </c>
      <c r="B52" s="340" t="s">
        <v>137</v>
      </c>
      <c r="C52" s="413">
        <v>200000</v>
      </c>
      <c r="D52" s="413">
        <v>1692970</v>
      </c>
      <c r="E52" s="569">
        <v>1692970</v>
      </c>
    </row>
    <row r="53" spans="1:5" ht="15" customHeight="1">
      <c r="A53" s="564" t="s">
        <v>79</v>
      </c>
      <c r="B53" s="340" t="s">
        <v>44</v>
      </c>
      <c r="C53" s="413"/>
      <c r="D53" s="413"/>
      <c r="E53" s="569"/>
    </row>
    <row r="54" spans="1:5" ht="13.5" thickBot="1">
      <c r="A54" s="564" t="s">
        <v>80</v>
      </c>
      <c r="B54" s="340" t="s">
        <v>673</v>
      </c>
      <c r="C54" s="413"/>
      <c r="D54" s="413"/>
      <c r="E54" s="569"/>
    </row>
    <row r="55" spans="1:5" ht="15" customHeight="1" thickBot="1">
      <c r="A55" s="551" t="s">
        <v>9</v>
      </c>
      <c r="B55" s="555" t="s">
        <v>568</v>
      </c>
      <c r="C55" s="109">
        <f>+C44+C50</f>
        <v>217725000</v>
      </c>
      <c r="D55" s="109">
        <f>+D44+D50</f>
        <v>229410839</v>
      </c>
      <c r="E55" s="559">
        <f>+E44+E50</f>
        <v>198935558</v>
      </c>
    </row>
    <row r="56" spans="1:5" ht="13.5" thickBot="1">
      <c r="C56" s="560"/>
      <c r="D56" s="560"/>
      <c r="E56" s="560"/>
    </row>
    <row r="57" spans="1:5" ht="13.5" thickBot="1">
      <c r="A57" s="647" t="s">
        <v>729</v>
      </c>
      <c r="B57" s="648"/>
      <c r="C57" s="113"/>
      <c r="D57" s="113"/>
      <c r="E57" s="549">
        <v>51</v>
      </c>
    </row>
    <row r="58" spans="1:5" ht="13.5" thickBot="1">
      <c r="A58" s="649" t="s">
        <v>728</v>
      </c>
      <c r="B58" s="650"/>
      <c r="C58" s="113"/>
      <c r="D58" s="113"/>
      <c r="E58" s="549"/>
    </row>
  </sheetData>
  <sheetProtection formatCells="0"/>
  <mergeCells count="4">
    <mergeCell ref="B2:D2"/>
    <mergeCell ref="B3:D3"/>
    <mergeCell ref="A7:E7"/>
    <mergeCell ref="A43:E43"/>
  </mergeCells>
  <phoneticPr fontId="27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92D050"/>
  </sheetPr>
  <dimension ref="A1:E58"/>
  <sheetViews>
    <sheetView zoomScaleNormal="100" zoomScaleSheetLayoutView="145" workbookViewId="0">
      <selection activeCell="E2" sqref="E2"/>
    </sheetView>
  </sheetViews>
  <sheetFormatPr defaultRowHeight="12.75"/>
  <cols>
    <col min="1" max="1" width="18.6640625" style="556" customWidth="1"/>
    <col min="2" max="2" width="62" style="32" customWidth="1"/>
    <col min="3" max="5" width="15.83203125" style="32" customWidth="1"/>
    <col min="6" max="16384" width="9.33203125" style="32"/>
  </cols>
  <sheetData>
    <row r="1" spans="1:5" s="491" customFormat="1" ht="21" customHeight="1" thickBot="1">
      <c r="A1" s="490"/>
      <c r="B1" s="492"/>
      <c r="C1" s="537"/>
      <c r="D1" s="537"/>
      <c r="E1" s="630" t="str">
        <f>+CONCATENATE("8.1.2. melléklet a 15/",LEFT(ÖSSZEFÜGGÉSEK!A4,4)+1,". (V. 30.) önkormányzati rendelethez")</f>
        <v>8.1.2. melléklet a 15/2017. (V. 30.) önkormányzati rendelethez</v>
      </c>
    </row>
    <row r="2" spans="1:5" s="538" customFormat="1" ht="25.5" customHeight="1">
      <c r="A2" s="518" t="s">
        <v>147</v>
      </c>
      <c r="B2" s="866" t="s">
        <v>733</v>
      </c>
      <c r="C2" s="867"/>
      <c r="D2" s="868"/>
      <c r="E2" s="561" t="s">
        <v>48</v>
      </c>
    </row>
    <row r="3" spans="1:5" s="538" customFormat="1" ht="24.75" thickBot="1">
      <c r="A3" s="536" t="s">
        <v>146</v>
      </c>
      <c r="B3" s="869" t="s">
        <v>670</v>
      </c>
      <c r="C3" s="872"/>
      <c r="D3" s="873"/>
      <c r="E3" s="562" t="s">
        <v>48</v>
      </c>
    </row>
    <row r="4" spans="1:5" s="539" customFormat="1" ht="15.95" customHeight="1" thickBot="1">
      <c r="A4" s="493"/>
      <c r="B4" s="493"/>
      <c r="C4" s="494"/>
      <c r="D4" s="494"/>
      <c r="E4" s="494" t="s">
        <v>769</v>
      </c>
    </row>
    <row r="5" spans="1:5" ht="24.75" thickBot="1">
      <c r="A5" s="325" t="s">
        <v>148</v>
      </c>
      <c r="B5" s="326" t="s">
        <v>727</v>
      </c>
      <c r="C5" s="97" t="s">
        <v>178</v>
      </c>
      <c r="D5" s="97" t="s">
        <v>183</v>
      </c>
      <c r="E5" s="495" t="s">
        <v>184</v>
      </c>
    </row>
    <row r="6" spans="1:5" s="540" customFormat="1" ht="12.95" customHeight="1" thickBot="1">
      <c r="A6" s="488" t="s">
        <v>409</v>
      </c>
      <c r="B6" s="489" t="s">
        <v>410</v>
      </c>
      <c r="C6" s="489" t="s">
        <v>411</v>
      </c>
      <c r="D6" s="112" t="s">
        <v>412</v>
      </c>
      <c r="E6" s="110" t="s">
        <v>413</v>
      </c>
    </row>
    <row r="7" spans="1:5" s="540" customFormat="1" ht="15.95" customHeight="1" thickBot="1">
      <c r="A7" s="863" t="s">
        <v>42</v>
      </c>
      <c r="B7" s="864"/>
      <c r="C7" s="864"/>
      <c r="D7" s="864"/>
      <c r="E7" s="865"/>
    </row>
    <row r="8" spans="1:5" s="514" customFormat="1" ht="12" customHeight="1" thickBot="1">
      <c r="A8" s="488" t="s">
        <v>7</v>
      </c>
      <c r="B8" s="552" t="s">
        <v>549</v>
      </c>
      <c r="C8" s="419">
        <f>SUM(C9:C18)</f>
        <v>34745000</v>
      </c>
      <c r="D8" s="581">
        <f>SUM(D9:D18)</f>
        <v>42745000</v>
      </c>
      <c r="E8" s="558">
        <f>SUM(E9:E18)</f>
        <v>18677222</v>
      </c>
    </row>
    <row r="9" spans="1:5" s="514" customFormat="1" ht="12" customHeight="1">
      <c r="A9" s="563" t="s">
        <v>71</v>
      </c>
      <c r="B9" s="342" t="s">
        <v>328</v>
      </c>
      <c r="C9" s="106"/>
      <c r="D9" s="582">
        <v>6299000</v>
      </c>
      <c r="E9" s="547">
        <v>6133799</v>
      </c>
    </row>
    <row r="10" spans="1:5" s="514" customFormat="1" ht="12" customHeight="1">
      <c r="A10" s="564" t="s">
        <v>72</v>
      </c>
      <c r="B10" s="340" t="s">
        <v>329</v>
      </c>
      <c r="C10" s="416">
        <v>27358000</v>
      </c>
      <c r="D10" s="583"/>
      <c r="E10" s="115"/>
    </row>
    <row r="11" spans="1:5" s="514" customFormat="1" ht="12" customHeight="1">
      <c r="A11" s="564" t="s">
        <v>73</v>
      </c>
      <c r="B11" s="340" t="s">
        <v>330</v>
      </c>
      <c r="C11" s="416"/>
      <c r="D11" s="583"/>
      <c r="E11" s="115"/>
    </row>
    <row r="12" spans="1:5" s="514" customFormat="1" ht="12" customHeight="1">
      <c r="A12" s="564" t="s">
        <v>74</v>
      </c>
      <c r="B12" s="340" t="s">
        <v>331</v>
      </c>
      <c r="C12" s="416"/>
      <c r="D12" s="583"/>
      <c r="E12" s="115"/>
    </row>
    <row r="13" spans="1:5" s="514" customFormat="1" ht="12" customHeight="1">
      <c r="A13" s="564" t="s">
        <v>107</v>
      </c>
      <c r="B13" s="340" t="s">
        <v>332</v>
      </c>
      <c r="C13" s="416"/>
      <c r="D13" s="583">
        <v>27358000</v>
      </c>
      <c r="E13" s="115">
        <v>8572601</v>
      </c>
    </row>
    <row r="14" spans="1:5" s="514" customFormat="1" ht="12" customHeight="1">
      <c r="A14" s="564" t="s">
        <v>75</v>
      </c>
      <c r="B14" s="340" t="s">
        <v>550</v>
      </c>
      <c r="C14" s="416">
        <v>7387000</v>
      </c>
      <c r="D14" s="583">
        <v>9088000</v>
      </c>
      <c r="E14" s="115">
        <f>1656127+2314695</f>
        <v>3970822</v>
      </c>
    </row>
    <row r="15" spans="1:5" s="541" customFormat="1" ht="12" customHeight="1">
      <c r="A15" s="564" t="s">
        <v>76</v>
      </c>
      <c r="B15" s="339" t="s">
        <v>551</v>
      </c>
      <c r="C15" s="416"/>
      <c r="D15" s="583"/>
      <c r="E15" s="115"/>
    </row>
    <row r="16" spans="1:5" s="541" customFormat="1" ht="12" customHeight="1">
      <c r="A16" s="564" t="s">
        <v>84</v>
      </c>
      <c r="B16" s="340" t="s">
        <v>335</v>
      </c>
      <c r="C16" s="107"/>
      <c r="D16" s="584"/>
      <c r="E16" s="546"/>
    </row>
    <row r="17" spans="1:5" s="514" customFormat="1" ht="12" customHeight="1">
      <c r="A17" s="564" t="s">
        <v>85</v>
      </c>
      <c r="B17" s="340" t="s">
        <v>337</v>
      </c>
      <c r="C17" s="416"/>
      <c r="D17" s="583"/>
      <c r="E17" s="115"/>
    </row>
    <row r="18" spans="1:5" s="541" customFormat="1" ht="12" customHeight="1" thickBot="1">
      <c r="A18" s="564" t="s">
        <v>86</v>
      </c>
      <c r="B18" s="339" t="s">
        <v>339</v>
      </c>
      <c r="C18" s="418"/>
      <c r="D18" s="116"/>
      <c r="E18" s="542"/>
    </row>
    <row r="19" spans="1:5" s="541" customFormat="1" ht="12" customHeight="1" thickBot="1">
      <c r="A19" s="488" t="s">
        <v>8</v>
      </c>
      <c r="B19" s="552" t="s">
        <v>552</v>
      </c>
      <c r="C19" s="419">
        <f>SUM(C20:C22)</f>
        <v>0</v>
      </c>
      <c r="D19" s="581">
        <f>SUM(D20:D22)</f>
        <v>0</v>
      </c>
      <c r="E19" s="558">
        <f>SUM(E20:E22)</f>
        <v>0</v>
      </c>
    </row>
    <row r="20" spans="1:5" s="541" customFormat="1" ht="12" customHeight="1">
      <c r="A20" s="564" t="s">
        <v>77</v>
      </c>
      <c r="B20" s="341" t="s">
        <v>309</v>
      </c>
      <c r="C20" s="416"/>
      <c r="D20" s="583"/>
      <c r="E20" s="115"/>
    </row>
    <row r="21" spans="1:5" s="541" customFormat="1" ht="12" customHeight="1">
      <c r="A21" s="564" t="s">
        <v>78</v>
      </c>
      <c r="B21" s="340" t="s">
        <v>553</v>
      </c>
      <c r="C21" s="416"/>
      <c r="D21" s="583"/>
      <c r="E21" s="115"/>
    </row>
    <row r="22" spans="1:5" s="541" customFormat="1" ht="12" customHeight="1">
      <c r="A22" s="564" t="s">
        <v>79</v>
      </c>
      <c r="B22" s="340" t="s">
        <v>554</v>
      </c>
      <c r="C22" s="416"/>
      <c r="D22" s="583"/>
      <c r="E22" s="115"/>
    </row>
    <row r="23" spans="1:5" s="514" customFormat="1" ht="12" customHeight="1" thickBot="1">
      <c r="A23" s="564" t="s">
        <v>80</v>
      </c>
      <c r="B23" s="340" t="s">
        <v>671</v>
      </c>
      <c r="C23" s="416"/>
      <c r="D23" s="583"/>
      <c r="E23" s="115"/>
    </row>
    <row r="24" spans="1:5" s="514" customFormat="1" ht="12" customHeight="1" thickBot="1">
      <c r="A24" s="551" t="s">
        <v>9</v>
      </c>
      <c r="B24" s="360" t="s">
        <v>124</v>
      </c>
      <c r="C24" s="41"/>
      <c r="D24" s="585"/>
      <c r="E24" s="557"/>
    </row>
    <row r="25" spans="1:5" s="514" customFormat="1" ht="12" customHeight="1" thickBot="1">
      <c r="A25" s="551" t="s">
        <v>10</v>
      </c>
      <c r="B25" s="360" t="s">
        <v>555</v>
      </c>
      <c r="C25" s="419">
        <f>+C26+C27</f>
        <v>0</v>
      </c>
      <c r="D25" s="581">
        <f>+D26+D27</f>
        <v>0</v>
      </c>
      <c r="E25" s="558">
        <f>+E26+E27</f>
        <v>0</v>
      </c>
    </row>
    <row r="26" spans="1:5" s="514" customFormat="1" ht="12" customHeight="1">
      <c r="A26" s="565" t="s">
        <v>322</v>
      </c>
      <c r="B26" s="566" t="s">
        <v>553</v>
      </c>
      <c r="C26" s="103"/>
      <c r="D26" s="572"/>
      <c r="E26" s="545"/>
    </row>
    <row r="27" spans="1:5" s="514" customFormat="1" ht="12" customHeight="1">
      <c r="A27" s="565" t="s">
        <v>323</v>
      </c>
      <c r="B27" s="567" t="s">
        <v>556</v>
      </c>
      <c r="C27" s="420"/>
      <c r="D27" s="586"/>
      <c r="E27" s="544"/>
    </row>
    <row r="28" spans="1:5" s="514" customFormat="1" ht="12" customHeight="1" thickBot="1">
      <c r="A28" s="564" t="s">
        <v>324</v>
      </c>
      <c r="B28" s="568" t="s">
        <v>672</v>
      </c>
      <c r="C28" s="548"/>
      <c r="D28" s="587"/>
      <c r="E28" s="543"/>
    </row>
    <row r="29" spans="1:5" s="514" customFormat="1" ht="12" customHeight="1" thickBot="1">
      <c r="A29" s="551" t="s">
        <v>11</v>
      </c>
      <c r="B29" s="360" t="s">
        <v>557</v>
      </c>
      <c r="C29" s="419">
        <f>+C30+C31+C32</f>
        <v>0</v>
      </c>
      <c r="D29" s="581">
        <f>+D30+D31+D32</f>
        <v>0</v>
      </c>
      <c r="E29" s="558">
        <f>+E30+E31+E32</f>
        <v>0</v>
      </c>
    </row>
    <row r="30" spans="1:5" s="514" customFormat="1" ht="12" customHeight="1">
      <c r="A30" s="565" t="s">
        <v>64</v>
      </c>
      <c r="B30" s="566" t="s">
        <v>341</v>
      </c>
      <c r="C30" s="103"/>
      <c r="D30" s="572"/>
      <c r="E30" s="545"/>
    </row>
    <row r="31" spans="1:5" s="514" customFormat="1" ht="12" customHeight="1">
      <c r="A31" s="565" t="s">
        <v>65</v>
      </c>
      <c r="B31" s="567" t="s">
        <v>342</v>
      </c>
      <c r="C31" s="420"/>
      <c r="D31" s="586"/>
      <c r="E31" s="544"/>
    </row>
    <row r="32" spans="1:5" s="514" customFormat="1" ht="12" customHeight="1" thickBot="1">
      <c r="A32" s="564" t="s">
        <v>66</v>
      </c>
      <c r="B32" s="550" t="s">
        <v>344</v>
      </c>
      <c r="C32" s="548"/>
      <c r="D32" s="587"/>
      <c r="E32" s="543"/>
    </row>
    <row r="33" spans="1:5" s="514" customFormat="1" ht="12" customHeight="1" thickBot="1">
      <c r="A33" s="551" t="s">
        <v>12</v>
      </c>
      <c r="B33" s="360" t="s">
        <v>469</v>
      </c>
      <c r="C33" s="41"/>
      <c r="D33" s="585"/>
      <c r="E33" s="557"/>
    </row>
    <row r="34" spans="1:5" s="514" customFormat="1" ht="12" customHeight="1" thickBot="1">
      <c r="A34" s="551" t="s">
        <v>13</v>
      </c>
      <c r="B34" s="360" t="s">
        <v>558</v>
      </c>
      <c r="C34" s="41"/>
      <c r="D34" s="585"/>
      <c r="E34" s="557"/>
    </row>
    <row r="35" spans="1:5" s="514" customFormat="1" ht="12" customHeight="1" thickBot="1">
      <c r="A35" s="488" t="s">
        <v>14</v>
      </c>
      <c r="B35" s="360" t="s">
        <v>559</v>
      </c>
      <c r="C35" s="419">
        <f>+C8+C19+C24+C25+C29+C33+C34</f>
        <v>34745000</v>
      </c>
      <c r="D35" s="581">
        <f>+D8+D19+D24+D25+D29+D33+D34</f>
        <v>42745000</v>
      </c>
      <c r="E35" s="558">
        <f>+E8+E19+E24+E25+E29+E33+E34</f>
        <v>18677222</v>
      </c>
    </row>
    <row r="36" spans="1:5" s="541" customFormat="1" ht="12" customHeight="1" thickBot="1">
      <c r="A36" s="553" t="s">
        <v>15</v>
      </c>
      <c r="B36" s="360" t="s">
        <v>560</v>
      </c>
      <c r="C36" s="419">
        <f>+C37+C38+C39</f>
        <v>9820000</v>
      </c>
      <c r="D36" s="581">
        <f>+D37+D38+D39</f>
        <v>5902088</v>
      </c>
      <c r="E36" s="558">
        <f>+E37+E38+E39</f>
        <v>18684008</v>
      </c>
    </row>
    <row r="37" spans="1:5" s="541" customFormat="1" ht="15" customHeight="1">
      <c r="A37" s="565" t="s">
        <v>561</v>
      </c>
      <c r="B37" s="566" t="s">
        <v>165</v>
      </c>
      <c r="C37" s="103"/>
      <c r="D37" s="572"/>
      <c r="E37" s="545"/>
    </row>
    <row r="38" spans="1:5" s="541" customFormat="1" ht="15" customHeight="1">
      <c r="A38" s="565" t="s">
        <v>562</v>
      </c>
      <c r="B38" s="567" t="s">
        <v>3</v>
      </c>
      <c r="C38" s="420"/>
      <c r="D38" s="586">
        <v>582968</v>
      </c>
      <c r="E38" s="544">
        <v>582968</v>
      </c>
    </row>
    <row r="39" spans="1:5" ht="13.5" thickBot="1">
      <c r="A39" s="564" t="s">
        <v>563</v>
      </c>
      <c r="B39" s="550" t="s">
        <v>564</v>
      </c>
      <c r="C39" s="548">
        <v>9820000</v>
      </c>
      <c r="D39" s="587">
        <v>5319120</v>
      </c>
      <c r="E39" s="543">
        <f>+E55-E35-E38</f>
        <v>18101040</v>
      </c>
    </row>
    <row r="40" spans="1:5" s="540" customFormat="1" ht="16.5" customHeight="1" thickBot="1">
      <c r="A40" s="553" t="s">
        <v>16</v>
      </c>
      <c r="B40" s="554" t="s">
        <v>565</v>
      </c>
      <c r="C40" s="109">
        <f>+C35+C36</f>
        <v>44565000</v>
      </c>
      <c r="D40" s="588">
        <f>+D35+D36</f>
        <v>48647088</v>
      </c>
      <c r="E40" s="559">
        <f>+E35+E36</f>
        <v>37361230</v>
      </c>
    </row>
    <row r="41" spans="1:5" s="315" customFormat="1" ht="12" customHeight="1">
      <c r="A41" s="496"/>
      <c r="B41" s="497"/>
      <c r="C41" s="512"/>
      <c r="D41" s="512"/>
      <c r="E41" s="512"/>
    </row>
    <row r="42" spans="1:5" ht="12" customHeight="1" thickBot="1">
      <c r="A42" s="498"/>
      <c r="B42" s="499"/>
      <c r="C42" s="513"/>
      <c r="D42" s="513"/>
      <c r="E42" s="513"/>
    </row>
    <row r="43" spans="1:5" ht="12" customHeight="1" thickBot="1">
      <c r="A43" s="863" t="s">
        <v>43</v>
      </c>
      <c r="B43" s="864"/>
      <c r="C43" s="864"/>
      <c r="D43" s="864"/>
      <c r="E43" s="865"/>
    </row>
    <row r="44" spans="1:5" ht="12" customHeight="1" thickBot="1">
      <c r="A44" s="551" t="s">
        <v>7</v>
      </c>
      <c r="B44" s="360" t="s">
        <v>566</v>
      </c>
      <c r="C44" s="419">
        <f>SUM(C45:C49)</f>
        <v>44565000</v>
      </c>
      <c r="D44" s="419">
        <f>SUM(D45:D49)</f>
        <v>48647088</v>
      </c>
      <c r="E44" s="558">
        <f>SUM(E45:E49)</f>
        <v>37361230</v>
      </c>
    </row>
    <row r="45" spans="1:5" ht="12" customHeight="1">
      <c r="A45" s="564" t="s">
        <v>71</v>
      </c>
      <c r="B45" s="341" t="s">
        <v>37</v>
      </c>
      <c r="C45" s="103">
        <v>11352000</v>
      </c>
      <c r="D45" s="103">
        <v>13313000</v>
      </c>
      <c r="E45" s="545">
        <f>1956605+7546446</f>
        <v>9503051</v>
      </c>
    </row>
    <row r="46" spans="1:5" ht="12" customHeight="1">
      <c r="A46" s="564" t="s">
        <v>72</v>
      </c>
      <c r="B46" s="340" t="s">
        <v>133</v>
      </c>
      <c r="C46" s="413">
        <v>3065000</v>
      </c>
      <c r="D46" s="413">
        <v>3586520</v>
      </c>
      <c r="E46" s="569">
        <f>528285+2037541</f>
        <v>2565826</v>
      </c>
    </row>
    <row r="47" spans="1:5" ht="12" customHeight="1">
      <c r="A47" s="564" t="s">
        <v>73</v>
      </c>
      <c r="B47" s="340" t="s">
        <v>100</v>
      </c>
      <c r="C47" s="413">
        <v>30148000</v>
      </c>
      <c r="D47" s="413">
        <v>31689271</v>
      </c>
      <c r="E47" s="569">
        <f>351075+24941278</f>
        <v>25292353</v>
      </c>
    </row>
    <row r="48" spans="1:5" s="315" customFormat="1" ht="12" customHeight="1">
      <c r="A48" s="564" t="s">
        <v>74</v>
      </c>
      <c r="B48" s="340" t="s">
        <v>134</v>
      </c>
      <c r="C48" s="413"/>
      <c r="D48" s="413"/>
      <c r="E48" s="569"/>
    </row>
    <row r="49" spans="1:5" ht="12" customHeight="1" thickBot="1">
      <c r="A49" s="564" t="s">
        <v>107</v>
      </c>
      <c r="B49" s="340" t="s">
        <v>135</v>
      </c>
      <c r="C49" s="413"/>
      <c r="D49" s="413">
        <v>58297</v>
      </c>
      <c r="E49" s="569"/>
    </row>
    <row r="50" spans="1:5" ht="12" customHeight="1" thickBot="1">
      <c r="A50" s="551" t="s">
        <v>8</v>
      </c>
      <c r="B50" s="360" t="s">
        <v>567</v>
      </c>
      <c r="C50" s="419">
        <f>SUM(C51:C53)</f>
        <v>0</v>
      </c>
      <c r="D50" s="419">
        <f>SUM(D51:D53)</f>
        <v>0</v>
      </c>
      <c r="E50" s="558">
        <f>SUM(E51:E53)</f>
        <v>0</v>
      </c>
    </row>
    <row r="51" spans="1:5" ht="12" customHeight="1">
      <c r="A51" s="564" t="s">
        <v>77</v>
      </c>
      <c r="B51" s="341" t="s">
        <v>155</v>
      </c>
      <c r="C51" s="103"/>
      <c r="D51" s="103"/>
      <c r="E51" s="545"/>
    </row>
    <row r="52" spans="1:5" ht="12" customHeight="1">
      <c r="A52" s="564" t="s">
        <v>78</v>
      </c>
      <c r="B52" s="340" t="s">
        <v>137</v>
      </c>
      <c r="C52" s="413"/>
      <c r="D52" s="413"/>
      <c r="E52" s="569"/>
    </row>
    <row r="53" spans="1:5" ht="15" customHeight="1">
      <c r="A53" s="564" t="s">
        <v>79</v>
      </c>
      <c r="B53" s="340" t="s">
        <v>44</v>
      </c>
      <c r="C53" s="413"/>
      <c r="D53" s="413"/>
      <c r="E53" s="569"/>
    </row>
    <row r="54" spans="1:5" ht="13.5" thickBot="1">
      <c r="A54" s="564" t="s">
        <v>80</v>
      </c>
      <c r="B54" s="340" t="s">
        <v>673</v>
      </c>
      <c r="C54" s="413"/>
      <c r="D54" s="413"/>
      <c r="E54" s="569"/>
    </row>
    <row r="55" spans="1:5" ht="15" customHeight="1" thickBot="1">
      <c r="A55" s="551" t="s">
        <v>9</v>
      </c>
      <c r="B55" s="555" t="s">
        <v>568</v>
      </c>
      <c r="C55" s="109">
        <f>+C44+C50</f>
        <v>44565000</v>
      </c>
      <c r="D55" s="109">
        <f>+D44+D50</f>
        <v>48647088</v>
      </c>
      <c r="E55" s="559">
        <f>+E44+E50</f>
        <v>37361230</v>
      </c>
    </row>
    <row r="56" spans="1:5" ht="13.5" thickBot="1">
      <c r="C56" s="560"/>
      <c r="D56" s="560"/>
      <c r="E56" s="560"/>
    </row>
    <row r="57" spans="1:5" ht="13.5" thickBot="1">
      <c r="A57" s="647" t="s">
        <v>729</v>
      </c>
      <c r="B57" s="648"/>
      <c r="C57" s="113"/>
      <c r="D57" s="113"/>
      <c r="E57" s="549">
        <v>8</v>
      </c>
    </row>
    <row r="58" spans="1:5" ht="13.5" thickBot="1">
      <c r="A58" s="649" t="s">
        <v>728</v>
      </c>
      <c r="B58" s="650"/>
      <c r="C58" s="113"/>
      <c r="D58" s="113"/>
      <c r="E58" s="549"/>
    </row>
  </sheetData>
  <sheetProtection formatCells="0"/>
  <mergeCells count="4">
    <mergeCell ref="B2:D2"/>
    <mergeCell ref="B3:D3"/>
    <mergeCell ref="A7:E7"/>
    <mergeCell ref="A43:E43"/>
  </mergeCells>
  <phoneticPr fontId="27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92D050"/>
  </sheetPr>
  <dimension ref="A1:E58"/>
  <sheetViews>
    <sheetView zoomScaleNormal="100" zoomScaleSheetLayoutView="145" workbookViewId="0">
      <selection activeCell="E2" sqref="E2"/>
    </sheetView>
  </sheetViews>
  <sheetFormatPr defaultRowHeight="12.75"/>
  <cols>
    <col min="1" max="1" width="18.6640625" style="556" customWidth="1"/>
    <col min="2" max="2" width="62" style="32" customWidth="1"/>
    <col min="3" max="5" width="15.83203125" style="32" customWidth="1"/>
    <col min="6" max="16384" width="9.33203125" style="32"/>
  </cols>
  <sheetData>
    <row r="1" spans="1:5" s="491" customFormat="1" ht="21" customHeight="1" thickBot="1">
      <c r="A1" s="490"/>
      <c r="B1" s="492"/>
      <c r="C1" s="537"/>
      <c r="D1" s="537"/>
      <c r="E1" s="630" t="str">
        <f>+CONCATENATE("8.1.3. melléklet a 15/",LEFT(ÖSSZEFÜGGÉSEK!A4,4)+1,". (V. 30.) önkormányzati rendelethez")</f>
        <v>8.1.3. melléklet a 15/2017. (V. 30.) önkormányzati rendelethez</v>
      </c>
    </row>
    <row r="2" spans="1:5" s="538" customFormat="1" ht="25.5" customHeight="1">
      <c r="A2" s="518" t="s">
        <v>147</v>
      </c>
      <c r="B2" s="866" t="s">
        <v>733</v>
      </c>
      <c r="C2" s="867"/>
      <c r="D2" s="868"/>
      <c r="E2" s="561" t="s">
        <v>48</v>
      </c>
    </row>
    <row r="3" spans="1:5" s="538" customFormat="1" ht="24.75" thickBot="1">
      <c r="A3" s="536" t="s">
        <v>146</v>
      </c>
      <c r="B3" s="869" t="s">
        <v>679</v>
      </c>
      <c r="C3" s="872"/>
      <c r="D3" s="873"/>
      <c r="E3" s="562" t="s">
        <v>49</v>
      </c>
    </row>
    <row r="4" spans="1:5" s="539" customFormat="1" ht="15.95" customHeight="1" thickBot="1">
      <c r="A4" s="493"/>
      <c r="B4" s="493"/>
      <c r="C4" s="494"/>
      <c r="D4" s="494"/>
      <c r="E4" s="494" t="s">
        <v>769</v>
      </c>
    </row>
    <row r="5" spans="1:5" ht="24.75" thickBot="1">
      <c r="A5" s="325" t="s">
        <v>148</v>
      </c>
      <c r="B5" s="326" t="s">
        <v>727</v>
      </c>
      <c r="C5" s="97" t="s">
        <v>178</v>
      </c>
      <c r="D5" s="97" t="s">
        <v>183</v>
      </c>
      <c r="E5" s="495" t="s">
        <v>184</v>
      </c>
    </row>
    <row r="6" spans="1:5" s="540" customFormat="1" ht="12.95" customHeight="1" thickBot="1">
      <c r="A6" s="488" t="s">
        <v>409</v>
      </c>
      <c r="B6" s="489" t="s">
        <v>410</v>
      </c>
      <c r="C6" s="489" t="s">
        <v>411</v>
      </c>
      <c r="D6" s="112" t="s">
        <v>412</v>
      </c>
      <c r="E6" s="110" t="s">
        <v>413</v>
      </c>
    </row>
    <row r="7" spans="1:5" s="540" customFormat="1" ht="15.95" customHeight="1" thickBot="1">
      <c r="A7" s="863" t="s">
        <v>42</v>
      </c>
      <c r="B7" s="864"/>
      <c r="C7" s="864"/>
      <c r="D7" s="864"/>
      <c r="E7" s="865"/>
    </row>
    <row r="8" spans="1:5" s="514" customFormat="1" ht="12" customHeight="1" thickBot="1">
      <c r="A8" s="488" t="s">
        <v>7</v>
      </c>
      <c r="B8" s="552" t="s">
        <v>549</v>
      </c>
      <c r="C8" s="419">
        <f>SUM(C9:C18)</f>
        <v>0</v>
      </c>
      <c r="D8" s="581">
        <f>SUM(D9:D18)</f>
        <v>0</v>
      </c>
      <c r="E8" s="558">
        <f>SUM(E9:E18)</f>
        <v>0</v>
      </c>
    </row>
    <row r="9" spans="1:5" s="514" customFormat="1" ht="12" customHeight="1">
      <c r="A9" s="563" t="s">
        <v>71</v>
      </c>
      <c r="B9" s="342" t="s">
        <v>328</v>
      </c>
      <c r="C9" s="106"/>
      <c r="D9" s="582"/>
      <c r="E9" s="547"/>
    </row>
    <row r="10" spans="1:5" s="514" customFormat="1" ht="12" customHeight="1">
      <c r="A10" s="564" t="s">
        <v>72</v>
      </c>
      <c r="B10" s="340" t="s">
        <v>329</v>
      </c>
      <c r="C10" s="416"/>
      <c r="D10" s="583"/>
      <c r="E10" s="115"/>
    </row>
    <row r="11" spans="1:5" s="514" customFormat="1" ht="12" customHeight="1">
      <c r="A11" s="564" t="s">
        <v>73</v>
      </c>
      <c r="B11" s="340" t="s">
        <v>330</v>
      </c>
      <c r="C11" s="416"/>
      <c r="D11" s="583"/>
      <c r="E11" s="115"/>
    </row>
    <row r="12" spans="1:5" s="514" customFormat="1" ht="12" customHeight="1">
      <c r="A12" s="564" t="s">
        <v>74</v>
      </c>
      <c r="B12" s="340" t="s">
        <v>331</v>
      </c>
      <c r="C12" s="416"/>
      <c r="D12" s="583"/>
      <c r="E12" s="115"/>
    </row>
    <row r="13" spans="1:5" s="514" customFormat="1" ht="12" customHeight="1">
      <c r="A13" s="564" t="s">
        <v>107</v>
      </c>
      <c r="B13" s="340" t="s">
        <v>332</v>
      </c>
      <c r="C13" s="416"/>
      <c r="D13" s="583"/>
      <c r="E13" s="115"/>
    </row>
    <row r="14" spans="1:5" s="514" customFormat="1" ht="12" customHeight="1">
      <c r="A14" s="564" t="s">
        <v>75</v>
      </c>
      <c r="B14" s="340" t="s">
        <v>550</v>
      </c>
      <c r="C14" s="416"/>
      <c r="D14" s="583"/>
      <c r="E14" s="115"/>
    </row>
    <row r="15" spans="1:5" s="541" customFormat="1" ht="12" customHeight="1">
      <c r="A15" s="564" t="s">
        <v>76</v>
      </c>
      <c r="B15" s="339" t="s">
        <v>551</v>
      </c>
      <c r="C15" s="416"/>
      <c r="D15" s="583"/>
      <c r="E15" s="115"/>
    </row>
    <row r="16" spans="1:5" s="541" customFormat="1" ht="12" customHeight="1">
      <c r="A16" s="564" t="s">
        <v>84</v>
      </c>
      <c r="B16" s="340" t="s">
        <v>335</v>
      </c>
      <c r="C16" s="107"/>
      <c r="D16" s="584"/>
      <c r="E16" s="546"/>
    </row>
    <row r="17" spans="1:5" s="514" customFormat="1" ht="12" customHeight="1">
      <c r="A17" s="564" t="s">
        <v>85</v>
      </c>
      <c r="B17" s="340" t="s">
        <v>337</v>
      </c>
      <c r="C17" s="416"/>
      <c r="D17" s="583"/>
      <c r="E17" s="115"/>
    </row>
    <row r="18" spans="1:5" s="541" customFormat="1" ht="12" customHeight="1" thickBot="1">
      <c r="A18" s="564" t="s">
        <v>86</v>
      </c>
      <c r="B18" s="339" t="s">
        <v>339</v>
      </c>
      <c r="C18" s="418"/>
      <c r="D18" s="116"/>
      <c r="E18" s="542"/>
    </row>
    <row r="19" spans="1:5" s="541" customFormat="1" ht="12" customHeight="1" thickBot="1">
      <c r="A19" s="488" t="s">
        <v>8</v>
      </c>
      <c r="B19" s="552" t="s">
        <v>552</v>
      </c>
      <c r="C19" s="419">
        <f>SUM(C20:C22)</f>
        <v>0</v>
      </c>
      <c r="D19" s="581">
        <f>SUM(D20:D22)</f>
        <v>0</v>
      </c>
      <c r="E19" s="558">
        <f>SUM(E20:E22)</f>
        <v>0</v>
      </c>
    </row>
    <row r="20" spans="1:5" s="541" customFormat="1" ht="12" customHeight="1">
      <c r="A20" s="564" t="s">
        <v>77</v>
      </c>
      <c r="B20" s="341" t="s">
        <v>309</v>
      </c>
      <c r="C20" s="416"/>
      <c r="D20" s="583"/>
      <c r="E20" s="115"/>
    </row>
    <row r="21" spans="1:5" s="541" customFormat="1" ht="12" customHeight="1">
      <c r="A21" s="564" t="s">
        <v>78</v>
      </c>
      <c r="B21" s="340" t="s">
        <v>553</v>
      </c>
      <c r="C21" s="416"/>
      <c r="D21" s="583"/>
      <c r="E21" s="115"/>
    </row>
    <row r="22" spans="1:5" s="541" customFormat="1" ht="12" customHeight="1">
      <c r="A22" s="564" t="s">
        <v>79</v>
      </c>
      <c r="B22" s="340" t="s">
        <v>554</v>
      </c>
      <c r="C22" s="416"/>
      <c r="D22" s="583"/>
      <c r="E22" s="115"/>
    </row>
    <row r="23" spans="1:5" s="514" customFormat="1" ht="12" customHeight="1" thickBot="1">
      <c r="A23" s="564" t="s">
        <v>80</v>
      </c>
      <c r="B23" s="340" t="s">
        <v>671</v>
      </c>
      <c r="C23" s="416"/>
      <c r="D23" s="583"/>
      <c r="E23" s="115"/>
    </row>
    <row r="24" spans="1:5" s="514" customFormat="1" ht="12" customHeight="1" thickBot="1">
      <c r="A24" s="551" t="s">
        <v>9</v>
      </c>
      <c r="B24" s="360" t="s">
        <v>124</v>
      </c>
      <c r="C24" s="41"/>
      <c r="D24" s="585"/>
      <c r="E24" s="557"/>
    </row>
    <row r="25" spans="1:5" s="514" customFormat="1" ht="12" customHeight="1" thickBot="1">
      <c r="A25" s="551" t="s">
        <v>10</v>
      </c>
      <c r="B25" s="360" t="s">
        <v>555</v>
      </c>
      <c r="C25" s="419">
        <f>+C26+C27</f>
        <v>0</v>
      </c>
      <c r="D25" s="581">
        <f>+D26+D27</f>
        <v>0</v>
      </c>
      <c r="E25" s="558">
        <f>+E26+E27</f>
        <v>0</v>
      </c>
    </row>
    <row r="26" spans="1:5" s="514" customFormat="1" ht="12" customHeight="1">
      <c r="A26" s="565" t="s">
        <v>322</v>
      </c>
      <c r="B26" s="566" t="s">
        <v>553</v>
      </c>
      <c r="C26" s="103"/>
      <c r="D26" s="572"/>
      <c r="E26" s="545"/>
    </row>
    <row r="27" spans="1:5" s="514" customFormat="1" ht="12" customHeight="1">
      <c r="A27" s="565" t="s">
        <v>323</v>
      </c>
      <c r="B27" s="567" t="s">
        <v>556</v>
      </c>
      <c r="C27" s="420"/>
      <c r="D27" s="586"/>
      <c r="E27" s="544"/>
    </row>
    <row r="28" spans="1:5" s="514" customFormat="1" ht="12" customHeight="1" thickBot="1">
      <c r="A28" s="564" t="s">
        <v>324</v>
      </c>
      <c r="B28" s="568" t="s">
        <v>672</v>
      </c>
      <c r="C28" s="548"/>
      <c r="D28" s="587"/>
      <c r="E28" s="543"/>
    </row>
    <row r="29" spans="1:5" s="514" customFormat="1" ht="12" customHeight="1" thickBot="1">
      <c r="A29" s="551" t="s">
        <v>11</v>
      </c>
      <c r="B29" s="360" t="s">
        <v>557</v>
      </c>
      <c r="C29" s="419">
        <f>+C30+C31+C32</f>
        <v>0</v>
      </c>
      <c r="D29" s="581">
        <f>+D30+D31+D32</f>
        <v>0</v>
      </c>
      <c r="E29" s="558">
        <f>+E30+E31+E32</f>
        <v>0</v>
      </c>
    </row>
    <row r="30" spans="1:5" s="514" customFormat="1" ht="12" customHeight="1">
      <c r="A30" s="565" t="s">
        <v>64</v>
      </c>
      <c r="B30" s="566" t="s">
        <v>341</v>
      </c>
      <c r="C30" s="103"/>
      <c r="D30" s="572"/>
      <c r="E30" s="545"/>
    </row>
    <row r="31" spans="1:5" s="514" customFormat="1" ht="12" customHeight="1">
      <c r="A31" s="565" t="s">
        <v>65</v>
      </c>
      <c r="B31" s="567" t="s">
        <v>342</v>
      </c>
      <c r="C31" s="420"/>
      <c r="D31" s="586"/>
      <c r="E31" s="544"/>
    </row>
    <row r="32" spans="1:5" s="514" customFormat="1" ht="12" customHeight="1" thickBot="1">
      <c r="A32" s="564" t="s">
        <v>66</v>
      </c>
      <c r="B32" s="550" t="s">
        <v>344</v>
      </c>
      <c r="C32" s="548"/>
      <c r="D32" s="587"/>
      <c r="E32" s="543"/>
    </row>
    <row r="33" spans="1:5" s="514" customFormat="1" ht="12" customHeight="1" thickBot="1">
      <c r="A33" s="551" t="s">
        <v>12</v>
      </c>
      <c r="B33" s="360" t="s">
        <v>469</v>
      </c>
      <c r="C33" s="41"/>
      <c r="D33" s="585"/>
      <c r="E33" s="557"/>
    </row>
    <row r="34" spans="1:5" s="514" customFormat="1" ht="12" customHeight="1" thickBot="1">
      <c r="A34" s="551" t="s">
        <v>13</v>
      </c>
      <c r="B34" s="360" t="s">
        <v>558</v>
      </c>
      <c r="C34" s="41"/>
      <c r="D34" s="585"/>
      <c r="E34" s="557"/>
    </row>
    <row r="35" spans="1:5" s="514" customFormat="1" ht="12" customHeight="1" thickBot="1">
      <c r="A35" s="488" t="s">
        <v>14</v>
      </c>
      <c r="B35" s="360" t="s">
        <v>559</v>
      </c>
      <c r="C35" s="419">
        <f>+C8+C19+C24+C25+C29+C33+C34</f>
        <v>0</v>
      </c>
      <c r="D35" s="581">
        <f>+D8+D19+D24+D25+D29+D33+D34</f>
        <v>0</v>
      </c>
      <c r="E35" s="558">
        <f>+E8+E19+E24+E25+E29+E33+E34</f>
        <v>0</v>
      </c>
    </row>
    <row r="36" spans="1:5" s="541" customFormat="1" ht="12" customHeight="1" thickBot="1">
      <c r="A36" s="553" t="s">
        <v>15</v>
      </c>
      <c r="B36" s="360" t="s">
        <v>560</v>
      </c>
      <c r="C36" s="419">
        <f>+C37+C38+C39</f>
        <v>0</v>
      </c>
      <c r="D36" s="581">
        <f>+D37+D38+D39</f>
        <v>0</v>
      </c>
      <c r="E36" s="558">
        <f>+E37+E38+E39</f>
        <v>0</v>
      </c>
    </row>
    <row r="37" spans="1:5" s="541" customFormat="1" ht="15" customHeight="1">
      <c r="A37" s="565" t="s">
        <v>561</v>
      </c>
      <c r="B37" s="566" t="s">
        <v>165</v>
      </c>
      <c r="C37" s="103"/>
      <c r="D37" s="572"/>
      <c r="E37" s="545"/>
    </row>
    <row r="38" spans="1:5" s="541" customFormat="1" ht="15" customHeight="1">
      <c r="A38" s="565" t="s">
        <v>562</v>
      </c>
      <c r="B38" s="567" t="s">
        <v>3</v>
      </c>
      <c r="C38" s="420"/>
      <c r="D38" s="586"/>
      <c r="E38" s="544"/>
    </row>
    <row r="39" spans="1:5" ht="13.5" thickBot="1">
      <c r="A39" s="564" t="s">
        <v>563</v>
      </c>
      <c r="B39" s="550" t="s">
        <v>564</v>
      </c>
      <c r="C39" s="548"/>
      <c r="D39" s="587"/>
      <c r="E39" s="543"/>
    </row>
    <row r="40" spans="1:5" s="540" customFormat="1" ht="16.5" customHeight="1" thickBot="1">
      <c r="A40" s="553" t="s">
        <v>16</v>
      </c>
      <c r="B40" s="554" t="s">
        <v>565</v>
      </c>
      <c r="C40" s="109">
        <f>+C35+C36</f>
        <v>0</v>
      </c>
      <c r="D40" s="588">
        <f>+D35+D36</f>
        <v>0</v>
      </c>
      <c r="E40" s="559">
        <f>+E35+E36</f>
        <v>0</v>
      </c>
    </row>
    <row r="41" spans="1:5" s="315" customFormat="1" ht="12" customHeight="1">
      <c r="A41" s="496"/>
      <c r="B41" s="497"/>
      <c r="C41" s="512"/>
      <c r="D41" s="512"/>
      <c r="E41" s="512"/>
    </row>
    <row r="42" spans="1:5" ht="12" customHeight="1" thickBot="1">
      <c r="A42" s="498"/>
      <c r="B42" s="499"/>
      <c r="C42" s="513"/>
      <c r="D42" s="513"/>
      <c r="E42" s="513"/>
    </row>
    <row r="43" spans="1:5" ht="12" customHeight="1" thickBot="1">
      <c r="A43" s="863" t="s">
        <v>43</v>
      </c>
      <c r="B43" s="864"/>
      <c r="C43" s="864"/>
      <c r="D43" s="864"/>
      <c r="E43" s="865"/>
    </row>
    <row r="44" spans="1:5" ht="12" customHeight="1" thickBot="1">
      <c r="A44" s="551" t="s">
        <v>7</v>
      </c>
      <c r="B44" s="360" t="s">
        <v>566</v>
      </c>
      <c r="C44" s="419">
        <f>SUM(C45:C49)</f>
        <v>0</v>
      </c>
      <c r="D44" s="419">
        <f>SUM(D45:D49)</f>
        <v>0</v>
      </c>
      <c r="E44" s="558">
        <f>SUM(E45:E49)</f>
        <v>0</v>
      </c>
    </row>
    <row r="45" spans="1:5" ht="12" customHeight="1">
      <c r="A45" s="564" t="s">
        <v>71</v>
      </c>
      <c r="B45" s="341" t="s">
        <v>37</v>
      </c>
      <c r="C45" s="103"/>
      <c r="D45" s="103"/>
      <c r="E45" s="545"/>
    </row>
    <row r="46" spans="1:5" ht="12" customHeight="1">
      <c r="A46" s="564" t="s">
        <v>72</v>
      </c>
      <c r="B46" s="340" t="s">
        <v>133</v>
      </c>
      <c r="C46" s="413"/>
      <c r="D46" s="413"/>
      <c r="E46" s="569"/>
    </row>
    <row r="47" spans="1:5" ht="12" customHeight="1">
      <c r="A47" s="564" t="s">
        <v>73</v>
      </c>
      <c r="B47" s="340" t="s">
        <v>100</v>
      </c>
      <c r="C47" s="413"/>
      <c r="D47" s="413"/>
      <c r="E47" s="569"/>
    </row>
    <row r="48" spans="1:5" s="315" customFormat="1" ht="12" customHeight="1">
      <c r="A48" s="564" t="s">
        <v>74</v>
      </c>
      <c r="B48" s="340" t="s">
        <v>134</v>
      </c>
      <c r="C48" s="413"/>
      <c r="D48" s="413"/>
      <c r="E48" s="569"/>
    </row>
    <row r="49" spans="1:5" ht="12" customHeight="1" thickBot="1">
      <c r="A49" s="564" t="s">
        <v>107</v>
      </c>
      <c r="B49" s="340" t="s">
        <v>135</v>
      </c>
      <c r="C49" s="413"/>
      <c r="D49" s="413"/>
      <c r="E49" s="569"/>
    </row>
    <row r="50" spans="1:5" ht="12" customHeight="1" thickBot="1">
      <c r="A50" s="551" t="s">
        <v>8</v>
      </c>
      <c r="B50" s="360" t="s">
        <v>567</v>
      </c>
      <c r="C50" s="419">
        <f>SUM(C51:C53)</f>
        <v>0</v>
      </c>
      <c r="D50" s="419">
        <f>SUM(D51:D53)</f>
        <v>0</v>
      </c>
      <c r="E50" s="558">
        <f>SUM(E51:E53)</f>
        <v>0</v>
      </c>
    </row>
    <row r="51" spans="1:5" ht="12" customHeight="1">
      <c r="A51" s="564" t="s">
        <v>77</v>
      </c>
      <c r="B51" s="341" t="s">
        <v>155</v>
      </c>
      <c r="C51" s="103"/>
      <c r="D51" s="103"/>
      <c r="E51" s="545"/>
    </row>
    <row r="52" spans="1:5" ht="12" customHeight="1">
      <c r="A52" s="564" t="s">
        <v>78</v>
      </c>
      <c r="B52" s="340" t="s">
        <v>137</v>
      </c>
      <c r="C52" s="413"/>
      <c r="D52" s="413"/>
      <c r="E52" s="569"/>
    </row>
    <row r="53" spans="1:5" ht="15" customHeight="1">
      <c r="A53" s="564" t="s">
        <v>79</v>
      </c>
      <c r="B53" s="340" t="s">
        <v>44</v>
      </c>
      <c r="C53" s="413"/>
      <c r="D53" s="413"/>
      <c r="E53" s="569"/>
    </row>
    <row r="54" spans="1:5" ht="13.5" thickBot="1">
      <c r="A54" s="564" t="s">
        <v>80</v>
      </c>
      <c r="B54" s="340" t="s">
        <v>673</v>
      </c>
      <c r="C54" s="413"/>
      <c r="D54" s="413"/>
      <c r="E54" s="569"/>
    </row>
    <row r="55" spans="1:5" ht="15" customHeight="1" thickBot="1">
      <c r="A55" s="551" t="s">
        <v>9</v>
      </c>
      <c r="B55" s="555" t="s">
        <v>568</v>
      </c>
      <c r="C55" s="109">
        <f>+C44+C50</f>
        <v>0</v>
      </c>
      <c r="D55" s="109">
        <f>+D44+D50</f>
        <v>0</v>
      </c>
      <c r="E55" s="559">
        <f>+E44+E50</f>
        <v>0</v>
      </c>
    </row>
    <row r="56" spans="1:5" ht="13.5" thickBot="1">
      <c r="C56" s="560"/>
      <c r="D56" s="560"/>
      <c r="E56" s="560"/>
    </row>
    <row r="57" spans="1:5" ht="13.5" thickBot="1">
      <c r="A57" s="647" t="s">
        <v>729</v>
      </c>
      <c r="B57" s="648"/>
      <c r="C57" s="113"/>
      <c r="D57" s="113"/>
      <c r="E57" s="549"/>
    </row>
    <row r="58" spans="1:5" ht="13.5" thickBot="1">
      <c r="A58" s="649" t="s">
        <v>728</v>
      </c>
      <c r="B58" s="650"/>
      <c r="C58" s="113"/>
      <c r="D58" s="113"/>
      <c r="E58" s="549"/>
    </row>
  </sheetData>
  <sheetProtection formatCells="0"/>
  <mergeCells count="4">
    <mergeCell ref="B2:D2"/>
    <mergeCell ref="B3:D3"/>
    <mergeCell ref="A7:E7"/>
    <mergeCell ref="A43:E43"/>
  </mergeCells>
  <phoneticPr fontId="27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92D050"/>
  </sheetPr>
  <dimension ref="A1:E58"/>
  <sheetViews>
    <sheetView zoomScaleNormal="100" zoomScaleSheetLayoutView="145" workbookViewId="0">
      <selection activeCell="E2" sqref="E2"/>
    </sheetView>
  </sheetViews>
  <sheetFormatPr defaultRowHeight="12.75"/>
  <cols>
    <col min="1" max="1" width="18.6640625" style="556" customWidth="1"/>
    <col min="2" max="2" width="62" style="32" customWidth="1"/>
    <col min="3" max="5" width="15.83203125" style="32" customWidth="1"/>
    <col min="6" max="16384" width="9.33203125" style="32"/>
  </cols>
  <sheetData>
    <row r="1" spans="1:5" s="491" customFormat="1" ht="21" customHeight="1" thickBot="1">
      <c r="A1" s="490"/>
      <c r="B1" s="492"/>
      <c r="C1" s="537"/>
      <c r="D1" s="537"/>
      <c r="E1" s="630" t="str">
        <f>+CONCATENATE("8.2. melléklet a 15/",LEFT(ÖSSZEFÜGGÉSEK!A4,4)+1,". (V. 30.) önkormányzati rendelethez")</f>
        <v>8.2. melléklet a 15/2017. (V. 30.) önkormányzati rendelethez</v>
      </c>
    </row>
    <row r="2" spans="1:5" s="538" customFormat="1" ht="25.5" customHeight="1">
      <c r="A2" s="518" t="s">
        <v>147</v>
      </c>
      <c r="B2" s="866" t="s">
        <v>734</v>
      </c>
      <c r="C2" s="867"/>
      <c r="D2" s="868"/>
      <c r="E2" s="561" t="s">
        <v>49</v>
      </c>
    </row>
    <row r="3" spans="1:5" s="538" customFormat="1" ht="24.75" thickBot="1">
      <c r="A3" s="536" t="s">
        <v>146</v>
      </c>
      <c r="B3" s="869" t="s">
        <v>541</v>
      </c>
      <c r="C3" s="872"/>
      <c r="D3" s="873"/>
      <c r="E3" s="562" t="s">
        <v>41</v>
      </c>
    </row>
    <row r="4" spans="1:5" s="539" customFormat="1" ht="15.95" customHeight="1" thickBot="1">
      <c r="A4" s="493"/>
      <c r="B4" s="493"/>
      <c r="C4" s="494"/>
      <c r="D4" s="494"/>
      <c r="E4" s="494" t="s">
        <v>769</v>
      </c>
    </row>
    <row r="5" spans="1:5" ht="24.75" thickBot="1">
      <c r="A5" s="325" t="s">
        <v>148</v>
      </c>
      <c r="B5" s="326" t="s">
        <v>727</v>
      </c>
      <c r="C5" s="97" t="s">
        <v>178</v>
      </c>
      <c r="D5" s="97" t="s">
        <v>183</v>
      </c>
      <c r="E5" s="495" t="s">
        <v>184</v>
      </c>
    </row>
    <row r="6" spans="1:5" s="540" customFormat="1" ht="12.95" customHeight="1" thickBot="1">
      <c r="A6" s="488" t="s">
        <v>409</v>
      </c>
      <c r="B6" s="489" t="s">
        <v>410</v>
      </c>
      <c r="C6" s="489" t="s">
        <v>411</v>
      </c>
      <c r="D6" s="112" t="s">
        <v>412</v>
      </c>
      <c r="E6" s="110" t="s">
        <v>413</v>
      </c>
    </row>
    <row r="7" spans="1:5" s="540" customFormat="1" ht="15.95" customHeight="1" thickBot="1">
      <c r="A7" s="863" t="s">
        <v>42</v>
      </c>
      <c r="B7" s="864"/>
      <c r="C7" s="864"/>
      <c r="D7" s="864"/>
      <c r="E7" s="865"/>
    </row>
    <row r="8" spans="1:5" s="514" customFormat="1" ht="12" customHeight="1" thickBot="1">
      <c r="A8" s="488" t="s">
        <v>7</v>
      </c>
      <c r="B8" s="552" t="s">
        <v>549</v>
      </c>
      <c r="C8" s="419">
        <f>SUM(C9:C18)</f>
        <v>25588100</v>
      </c>
      <c r="D8" s="581">
        <f>SUM(D9:D18)</f>
        <v>29580350</v>
      </c>
      <c r="E8" s="558">
        <f>+'8.2.1. sz. mell.'!E8+'8.2.2. sz. mell.'!E8+'8.2.3. sz. mell.'!E8</f>
        <v>31122645</v>
      </c>
    </row>
    <row r="9" spans="1:5" s="514" customFormat="1" ht="12" customHeight="1">
      <c r="A9" s="563" t="s">
        <v>71</v>
      </c>
      <c r="B9" s="342" t="s">
        <v>328</v>
      </c>
      <c r="C9" s="106">
        <v>709000</v>
      </c>
      <c r="D9" s="582">
        <v>2434000</v>
      </c>
      <c r="E9" s="664">
        <f>+'8.2.1. sz. mell.'!E9+'8.2.2. sz. mell.'!E9+'8.2.3. sz. mell.'!E9</f>
        <v>2455595</v>
      </c>
    </row>
    <row r="10" spans="1:5" s="514" customFormat="1" ht="12" customHeight="1">
      <c r="A10" s="564" t="s">
        <v>72</v>
      </c>
      <c r="B10" s="340" t="s">
        <v>329</v>
      </c>
      <c r="C10" s="416">
        <v>18588100</v>
      </c>
      <c r="D10" s="583">
        <v>20088100</v>
      </c>
      <c r="E10" s="666">
        <f>+'8.2.1. sz. mell.'!E10+'8.2.2. sz. mell.'!E10+'8.2.3. sz. mell.'!E10</f>
        <v>20423044</v>
      </c>
    </row>
    <row r="11" spans="1:5" s="514" customFormat="1" ht="12" customHeight="1">
      <c r="A11" s="564" t="s">
        <v>73</v>
      </c>
      <c r="B11" s="340" t="s">
        <v>330</v>
      </c>
      <c r="C11" s="416">
        <v>308000</v>
      </c>
      <c r="D11" s="583">
        <v>390000</v>
      </c>
      <c r="E11" s="667">
        <f>+'8.2.1. sz. mell.'!E11+'8.2.2. sz. mell.'!E11+'8.2.3. sz. mell.'!E11</f>
        <v>439132</v>
      </c>
    </row>
    <row r="12" spans="1:5" s="514" customFormat="1" ht="12" customHeight="1">
      <c r="A12" s="564" t="s">
        <v>74</v>
      </c>
      <c r="B12" s="340" t="s">
        <v>331</v>
      </c>
      <c r="C12" s="416"/>
      <c r="D12" s="583"/>
      <c r="E12" s="666">
        <f>+'8.2.1. sz. mell.'!E12+'8.2.2. sz. mell.'!E12+'8.2.3. sz. mell.'!E12</f>
        <v>0</v>
      </c>
    </row>
    <row r="13" spans="1:5" s="514" customFormat="1" ht="12" customHeight="1">
      <c r="A13" s="564" t="s">
        <v>107</v>
      </c>
      <c r="B13" s="340" t="s">
        <v>332</v>
      </c>
      <c r="C13" s="416"/>
      <c r="D13" s="583"/>
      <c r="E13" s="667">
        <f>+'8.2.1. sz. mell.'!E13+'8.2.2. sz. mell.'!E13+'8.2.3. sz. mell.'!E13</f>
        <v>0</v>
      </c>
    </row>
    <row r="14" spans="1:5" s="514" customFormat="1" ht="12" customHeight="1">
      <c r="A14" s="564" t="s">
        <v>75</v>
      </c>
      <c r="B14" s="340" t="s">
        <v>550</v>
      </c>
      <c r="C14" s="416">
        <v>2983000</v>
      </c>
      <c r="D14" s="583">
        <v>3793000</v>
      </c>
      <c r="E14" s="666">
        <f>+'8.2.1. sz. mell.'!E14+'8.2.2. sz. mell.'!E14+'8.2.3. sz. mell.'!E14</f>
        <v>4648384</v>
      </c>
    </row>
    <row r="15" spans="1:5" s="541" customFormat="1" ht="12" customHeight="1">
      <c r="A15" s="564" t="s">
        <v>76</v>
      </c>
      <c r="B15" s="339" t="s">
        <v>551</v>
      </c>
      <c r="C15" s="416">
        <v>3000000</v>
      </c>
      <c r="D15" s="583">
        <v>2775000</v>
      </c>
      <c r="E15" s="667">
        <f>+'8.2.1. sz. mell.'!E15+'8.2.2. sz. mell.'!E15+'8.2.3. sz. mell.'!E15</f>
        <v>2775000</v>
      </c>
    </row>
    <row r="16" spans="1:5" s="541" customFormat="1" ht="12" customHeight="1">
      <c r="A16" s="564" t="s">
        <v>84</v>
      </c>
      <c r="B16" s="340" t="s">
        <v>335</v>
      </c>
      <c r="C16" s="107"/>
      <c r="D16" s="584">
        <v>150</v>
      </c>
      <c r="E16" s="666">
        <f>+'8.2.1. sz. mell.'!E16+'8.2.2. sz. mell.'!E16+'8.2.3. sz. mell.'!E16</f>
        <v>98</v>
      </c>
    </row>
    <row r="17" spans="1:5" s="514" customFormat="1" ht="12" customHeight="1">
      <c r="A17" s="564" t="s">
        <v>85</v>
      </c>
      <c r="B17" s="340" t="s">
        <v>337</v>
      </c>
      <c r="C17" s="416"/>
      <c r="D17" s="583"/>
      <c r="E17" s="666">
        <f>+'8.2.1. sz. mell.'!E17+'8.2.2. sz. mell.'!E17+'8.2.3. sz. mell.'!E17</f>
        <v>0</v>
      </c>
    </row>
    <row r="18" spans="1:5" s="541" customFormat="1" ht="12" customHeight="1" thickBot="1">
      <c r="A18" s="564" t="s">
        <v>86</v>
      </c>
      <c r="B18" s="339" t="s">
        <v>339</v>
      </c>
      <c r="C18" s="418"/>
      <c r="D18" s="116">
        <v>100100</v>
      </c>
      <c r="E18" s="665">
        <f>+'8.2.1. sz. mell.'!E18+'8.2.2. sz. mell.'!E18+'8.2.3. sz. mell.'!E18</f>
        <v>381392</v>
      </c>
    </row>
    <row r="19" spans="1:5" s="541" customFormat="1" ht="12" customHeight="1" thickBot="1">
      <c r="A19" s="488" t="s">
        <v>8</v>
      </c>
      <c r="B19" s="552" t="s">
        <v>552</v>
      </c>
      <c r="C19" s="419">
        <f>SUM(C20:C22)</f>
        <v>0</v>
      </c>
      <c r="D19" s="581">
        <f>SUM(D20:D22)</f>
        <v>0</v>
      </c>
      <c r="E19" s="558">
        <f>+'8.2.1. sz. mell.'!E19+'8.2.2. sz. mell.'!E19+'8.2.3. sz. mell.'!E19</f>
        <v>1402528</v>
      </c>
    </row>
    <row r="20" spans="1:5" s="541" customFormat="1" ht="12" customHeight="1">
      <c r="A20" s="564" t="s">
        <v>77</v>
      </c>
      <c r="B20" s="341" t="s">
        <v>309</v>
      </c>
      <c r="C20" s="416"/>
      <c r="D20" s="583"/>
      <c r="E20" s="664">
        <f>+'8.2.1. sz. mell.'!E20+'8.2.2. sz. mell.'!E20+'8.2.3. sz. mell.'!E20</f>
        <v>0</v>
      </c>
    </row>
    <row r="21" spans="1:5" s="541" customFormat="1" ht="12" customHeight="1">
      <c r="A21" s="564" t="s">
        <v>78</v>
      </c>
      <c r="B21" s="340" t="s">
        <v>553</v>
      </c>
      <c r="C21" s="416"/>
      <c r="D21" s="583"/>
      <c r="E21" s="666">
        <f>+'8.2.1. sz. mell.'!E21+'8.2.2. sz. mell.'!E21+'8.2.3. sz. mell.'!E21</f>
        <v>0</v>
      </c>
    </row>
    <row r="22" spans="1:5" s="541" customFormat="1" ht="12" customHeight="1">
      <c r="A22" s="564" t="s">
        <v>79</v>
      </c>
      <c r="B22" s="340" t="s">
        <v>554</v>
      </c>
      <c r="C22" s="416"/>
      <c r="D22" s="583"/>
      <c r="E22" s="666">
        <f>+'8.2.1. sz. mell.'!E22+'8.2.2. sz. mell.'!E22+'8.2.3. sz. mell.'!E22</f>
        <v>1402528</v>
      </c>
    </row>
    <row r="23" spans="1:5" s="514" customFormat="1" ht="12" customHeight="1" thickBot="1">
      <c r="A23" s="564" t="s">
        <v>80</v>
      </c>
      <c r="B23" s="340" t="s">
        <v>671</v>
      </c>
      <c r="C23" s="416"/>
      <c r="D23" s="583"/>
      <c r="E23" s="665">
        <f>+'8.2.1. sz. mell.'!E23+'8.2.2. sz. mell.'!E23+'8.2.3. sz. mell.'!E23</f>
        <v>0</v>
      </c>
    </row>
    <row r="24" spans="1:5" s="514" customFormat="1" ht="12" customHeight="1" thickBot="1">
      <c r="A24" s="551" t="s">
        <v>9</v>
      </c>
      <c r="B24" s="360" t="s">
        <v>124</v>
      </c>
      <c r="C24" s="41"/>
      <c r="D24" s="585"/>
      <c r="E24" s="558">
        <f>+'8.2.1. sz. mell.'!E24+'8.2.2. sz. mell.'!E24+'8.2.3. sz. mell.'!E24</f>
        <v>0</v>
      </c>
    </row>
    <row r="25" spans="1:5" s="514" customFormat="1" ht="12" customHeight="1" thickBot="1">
      <c r="A25" s="551" t="s">
        <v>10</v>
      </c>
      <c r="B25" s="360" t="s">
        <v>555</v>
      </c>
      <c r="C25" s="419">
        <f>+C26+C27</f>
        <v>0</v>
      </c>
      <c r="D25" s="581">
        <f>+D26+D27</f>
        <v>0</v>
      </c>
      <c r="E25" s="558">
        <f>+'8.2.1. sz. mell.'!E25+'8.2.2. sz. mell.'!E25+'8.2.3. sz. mell.'!E25</f>
        <v>0</v>
      </c>
    </row>
    <row r="26" spans="1:5" s="514" customFormat="1" ht="12" customHeight="1">
      <c r="A26" s="565" t="s">
        <v>322</v>
      </c>
      <c r="B26" s="566" t="s">
        <v>553</v>
      </c>
      <c r="C26" s="103"/>
      <c r="D26" s="572"/>
      <c r="E26" s="664">
        <f>+'8.2.1. sz. mell.'!E26+'8.2.2. sz. mell.'!E26+'8.2.3. sz. mell.'!E26</f>
        <v>0</v>
      </c>
    </row>
    <row r="27" spans="1:5" s="514" customFormat="1" ht="12" customHeight="1">
      <c r="A27" s="565" t="s">
        <v>323</v>
      </c>
      <c r="B27" s="567" t="s">
        <v>556</v>
      </c>
      <c r="C27" s="420"/>
      <c r="D27" s="586"/>
      <c r="E27" s="666">
        <f>+'8.2.1. sz. mell.'!E27+'8.2.2. sz. mell.'!E27+'8.2.3. sz. mell.'!E27</f>
        <v>0</v>
      </c>
    </row>
    <row r="28" spans="1:5" s="514" customFormat="1" ht="12" customHeight="1" thickBot="1">
      <c r="A28" s="564" t="s">
        <v>324</v>
      </c>
      <c r="B28" s="568" t="s">
        <v>672</v>
      </c>
      <c r="C28" s="548"/>
      <c r="D28" s="587"/>
      <c r="E28" s="665">
        <f>+'8.2.1. sz. mell.'!E28+'8.2.2. sz. mell.'!E28+'8.2.3. sz. mell.'!E28</f>
        <v>0</v>
      </c>
    </row>
    <row r="29" spans="1:5" s="514" customFormat="1" ht="12" customHeight="1" thickBot="1">
      <c r="A29" s="551" t="s">
        <v>11</v>
      </c>
      <c r="B29" s="360" t="s">
        <v>557</v>
      </c>
      <c r="C29" s="419">
        <f>+C30+C31+C32</f>
        <v>0</v>
      </c>
      <c r="D29" s="581">
        <f>+D30+D31+D32</f>
        <v>0</v>
      </c>
      <c r="E29" s="558">
        <f>+'8.2.1. sz. mell.'!E29+'8.2.2. sz. mell.'!E29+'8.2.3. sz. mell.'!E29</f>
        <v>0</v>
      </c>
    </row>
    <row r="30" spans="1:5" s="514" customFormat="1" ht="12" customHeight="1">
      <c r="A30" s="565" t="s">
        <v>64</v>
      </c>
      <c r="B30" s="566" t="s">
        <v>341</v>
      </c>
      <c r="C30" s="103"/>
      <c r="D30" s="572"/>
      <c r="E30" s="664">
        <f>+'8.2.1. sz. mell.'!E30+'8.2.2. sz. mell.'!E30+'8.2.3. sz. mell.'!E30</f>
        <v>0</v>
      </c>
    </row>
    <row r="31" spans="1:5" s="514" customFormat="1" ht="12" customHeight="1">
      <c r="A31" s="565" t="s">
        <v>65</v>
      </c>
      <c r="B31" s="567" t="s">
        <v>342</v>
      </c>
      <c r="C31" s="420"/>
      <c r="D31" s="586"/>
      <c r="E31" s="666">
        <f>+'8.2.1. sz. mell.'!E31+'8.2.2. sz. mell.'!E31+'8.2.3. sz. mell.'!E31</f>
        <v>0</v>
      </c>
    </row>
    <row r="32" spans="1:5" s="514" customFormat="1" ht="12" customHeight="1" thickBot="1">
      <c r="A32" s="564" t="s">
        <v>66</v>
      </c>
      <c r="B32" s="550" t="s">
        <v>344</v>
      </c>
      <c r="C32" s="548"/>
      <c r="D32" s="587"/>
      <c r="E32" s="665">
        <f>+'8.2.1. sz. mell.'!E32+'8.2.2. sz. mell.'!E32+'8.2.3. sz. mell.'!E32</f>
        <v>0</v>
      </c>
    </row>
    <row r="33" spans="1:5" s="514" customFormat="1" ht="12" customHeight="1" thickBot="1">
      <c r="A33" s="551" t="s">
        <v>12</v>
      </c>
      <c r="B33" s="360" t="s">
        <v>469</v>
      </c>
      <c r="C33" s="41"/>
      <c r="D33" s="585"/>
      <c r="E33" s="558">
        <f>+'8.2.1. sz. mell.'!E33+'8.2.2. sz. mell.'!E33+'8.2.3. sz. mell.'!E33</f>
        <v>0</v>
      </c>
    </row>
    <row r="34" spans="1:5" s="514" customFormat="1" ht="12" customHeight="1" thickBot="1">
      <c r="A34" s="551" t="s">
        <v>13</v>
      </c>
      <c r="B34" s="360" t="s">
        <v>558</v>
      </c>
      <c r="C34" s="41"/>
      <c r="D34" s="585"/>
      <c r="E34" s="558">
        <f>+'8.2.1. sz. mell.'!E34+'8.2.2. sz. mell.'!E34+'8.2.3. sz. mell.'!E34</f>
        <v>0</v>
      </c>
    </row>
    <row r="35" spans="1:5" s="514" customFormat="1" ht="12" customHeight="1" thickBot="1">
      <c r="A35" s="488" t="s">
        <v>14</v>
      </c>
      <c r="B35" s="360" t="s">
        <v>559</v>
      </c>
      <c r="C35" s="419">
        <f>+C8+C19+C24+C25+C29+C33+C34</f>
        <v>25588100</v>
      </c>
      <c r="D35" s="581">
        <f>+D8+D19+D24+D25+D29+D33+D34</f>
        <v>29580350</v>
      </c>
      <c r="E35" s="558">
        <f>+'8.2.1. sz. mell.'!E35+'8.2.2. sz. mell.'!E35+'8.2.3. sz. mell.'!E35</f>
        <v>32525173</v>
      </c>
    </row>
    <row r="36" spans="1:5" s="541" customFormat="1" ht="12" customHeight="1" thickBot="1">
      <c r="A36" s="553" t="s">
        <v>15</v>
      </c>
      <c r="B36" s="360" t="s">
        <v>560</v>
      </c>
      <c r="C36" s="419">
        <f>+C37+C38+C39</f>
        <v>57450736</v>
      </c>
      <c r="D36" s="581">
        <f>+D37+D38+D39</f>
        <v>60759908</v>
      </c>
      <c r="E36" s="558">
        <f>+'8.2.1. sz. mell.'!E36+'8.2.2. sz. mell.'!E36+'8.2.3. sz. mell.'!E36</f>
        <v>50415792</v>
      </c>
    </row>
    <row r="37" spans="1:5" s="541" customFormat="1" ht="15" customHeight="1">
      <c r="A37" s="565" t="s">
        <v>561</v>
      </c>
      <c r="B37" s="566" t="s">
        <v>165</v>
      </c>
      <c r="C37" s="103"/>
      <c r="D37" s="572">
        <v>609172</v>
      </c>
      <c r="E37" s="664">
        <f>+'8.2.1. sz. mell.'!E37+'8.2.2. sz. mell.'!E37+'8.2.3. sz. mell.'!E37</f>
        <v>609172</v>
      </c>
    </row>
    <row r="38" spans="1:5" s="541" customFormat="1" ht="15" customHeight="1">
      <c r="A38" s="565" t="s">
        <v>562</v>
      </c>
      <c r="B38" s="567" t="s">
        <v>3</v>
      </c>
      <c r="C38" s="420"/>
      <c r="D38" s="586"/>
      <c r="E38" s="666">
        <f>+'8.2.1. sz. mell.'!E38+'8.2.2. sz. mell.'!E38+'8.2.3. sz. mell.'!E38</f>
        <v>0</v>
      </c>
    </row>
    <row r="39" spans="1:5" ht="13.5" thickBot="1">
      <c r="A39" s="564" t="s">
        <v>563</v>
      </c>
      <c r="B39" s="550" t="s">
        <v>564</v>
      </c>
      <c r="C39" s="548">
        <v>57450736</v>
      </c>
      <c r="D39" s="587">
        <v>60150736</v>
      </c>
      <c r="E39" s="665">
        <f>+'8.2.1. sz. mell.'!E39+'8.2.2. sz. mell.'!E39+'8.2.3. sz. mell.'!E39</f>
        <v>49806620</v>
      </c>
    </row>
    <row r="40" spans="1:5" s="540" customFormat="1" ht="16.5" customHeight="1" thickBot="1">
      <c r="A40" s="553" t="s">
        <v>16</v>
      </c>
      <c r="B40" s="554" t="s">
        <v>565</v>
      </c>
      <c r="C40" s="109">
        <f>+C35+C36</f>
        <v>83038836</v>
      </c>
      <c r="D40" s="588">
        <f>+D35+D36</f>
        <v>90340258</v>
      </c>
      <c r="E40" s="558">
        <f>+'8.2.1. sz. mell.'!E40+'8.2.2. sz. mell.'!E40+'8.2.3. sz. mell.'!E40</f>
        <v>82940965</v>
      </c>
    </row>
    <row r="41" spans="1:5" s="315" customFormat="1" ht="12" customHeight="1">
      <c r="A41" s="496"/>
      <c r="B41" s="497"/>
      <c r="C41" s="512"/>
      <c r="D41" s="512"/>
      <c r="E41" s="512"/>
    </row>
    <row r="42" spans="1:5" ht="12" customHeight="1" thickBot="1">
      <c r="A42" s="498"/>
      <c r="B42" s="499"/>
      <c r="C42" s="513"/>
      <c r="D42" s="513"/>
      <c r="E42" s="513"/>
    </row>
    <row r="43" spans="1:5" ht="12" customHeight="1" thickBot="1">
      <c r="A43" s="863" t="s">
        <v>43</v>
      </c>
      <c r="B43" s="864"/>
      <c r="C43" s="864"/>
      <c r="D43" s="864"/>
      <c r="E43" s="865"/>
    </row>
    <row r="44" spans="1:5" ht="12" customHeight="1" thickBot="1">
      <c r="A44" s="551" t="s">
        <v>7</v>
      </c>
      <c r="B44" s="360" t="s">
        <v>566</v>
      </c>
      <c r="C44" s="419">
        <f>SUM(C45:C49)</f>
        <v>83038836</v>
      </c>
      <c r="D44" s="419">
        <f>SUM(D45:D49)</f>
        <v>88220258</v>
      </c>
      <c r="E44" s="558">
        <f>+'8.2.1. sz. mell.'!E44+'8.2.2. sz. mell.'!E44+'8.2.3. sz. mell.'!E44</f>
        <v>78951951</v>
      </c>
    </row>
    <row r="45" spans="1:5" ht="12" customHeight="1">
      <c r="A45" s="564" t="s">
        <v>71</v>
      </c>
      <c r="B45" s="341" t="s">
        <v>37</v>
      </c>
      <c r="C45" s="103">
        <v>25070000</v>
      </c>
      <c r="D45" s="103">
        <v>24310000</v>
      </c>
      <c r="E45" s="664">
        <f>+'8.2.1. sz. mell.'!E45+'8.2.2. sz. mell.'!E45+'8.2.3. sz. mell.'!E45</f>
        <v>23381194</v>
      </c>
    </row>
    <row r="46" spans="1:5" ht="12" customHeight="1">
      <c r="A46" s="564" t="s">
        <v>72</v>
      </c>
      <c r="B46" s="340" t="s">
        <v>133</v>
      </c>
      <c r="C46" s="413">
        <v>6766000</v>
      </c>
      <c r="D46" s="413">
        <v>7526000</v>
      </c>
      <c r="E46" s="666">
        <f>+'8.2.1. sz. mell.'!E46+'8.2.2. sz. mell.'!E46+'8.2.3. sz. mell.'!E46</f>
        <v>6521761</v>
      </c>
    </row>
    <row r="47" spans="1:5" ht="12" customHeight="1">
      <c r="A47" s="564" t="s">
        <v>73</v>
      </c>
      <c r="B47" s="340" t="s">
        <v>100</v>
      </c>
      <c r="C47" s="413">
        <v>51202836</v>
      </c>
      <c r="D47" s="413">
        <v>56143560</v>
      </c>
      <c r="E47" s="666">
        <f>+'8.2.1. sz. mell.'!E47+'8.2.2. sz. mell.'!E47+'8.2.3. sz. mell.'!E47</f>
        <v>48808298</v>
      </c>
    </row>
    <row r="48" spans="1:5" s="315" customFormat="1" ht="12" customHeight="1">
      <c r="A48" s="564" t="s">
        <v>74</v>
      </c>
      <c r="B48" s="340" t="s">
        <v>134</v>
      </c>
      <c r="C48" s="413"/>
      <c r="D48" s="413"/>
      <c r="E48" s="666">
        <f>+'8.2.1. sz. mell.'!E48+'8.2.2. sz. mell.'!E48+'8.2.3. sz. mell.'!E48</f>
        <v>0</v>
      </c>
    </row>
    <row r="49" spans="1:5" ht="12" customHeight="1" thickBot="1">
      <c r="A49" s="564" t="s">
        <v>107</v>
      </c>
      <c r="B49" s="340" t="s">
        <v>135</v>
      </c>
      <c r="C49" s="413"/>
      <c r="D49" s="413">
        <v>240698</v>
      </c>
      <c r="E49" s="665">
        <f>+'8.2.1. sz. mell.'!E49+'8.2.2. sz. mell.'!E49+'8.2.3. sz. mell.'!E49</f>
        <v>240698</v>
      </c>
    </row>
    <row r="50" spans="1:5" ht="12" customHeight="1" thickBot="1">
      <c r="A50" s="551" t="s">
        <v>8</v>
      </c>
      <c r="B50" s="360" t="s">
        <v>567</v>
      </c>
      <c r="C50" s="419">
        <f>SUM(C51:C53)</f>
        <v>0</v>
      </c>
      <c r="D50" s="419">
        <f>SUM(D51:D53)</f>
        <v>2120000</v>
      </c>
      <c r="E50" s="558">
        <f>+'8.2.1. sz. mell.'!E50+'8.2.2. sz. mell.'!E50+'8.2.3. sz. mell.'!E50</f>
        <v>1830464</v>
      </c>
    </row>
    <row r="51" spans="1:5" ht="12" customHeight="1">
      <c r="A51" s="564" t="s">
        <v>77</v>
      </c>
      <c r="B51" s="341" t="s">
        <v>155</v>
      </c>
      <c r="C51" s="103"/>
      <c r="D51" s="103">
        <v>1820000</v>
      </c>
      <c r="E51" s="664">
        <f>+'8.2.1. sz. mell.'!E51+'8.2.2. sz. mell.'!E51+'8.2.3. sz. mell.'!E51</f>
        <v>1632748</v>
      </c>
    </row>
    <row r="52" spans="1:5" ht="12" customHeight="1">
      <c r="A52" s="564" t="s">
        <v>78</v>
      </c>
      <c r="B52" s="340" t="s">
        <v>137</v>
      </c>
      <c r="C52" s="413"/>
      <c r="D52" s="413">
        <v>300000</v>
      </c>
      <c r="E52" s="666">
        <f>+'8.2.1. sz. mell.'!E52+'8.2.2. sz. mell.'!E52+'8.2.3. sz. mell.'!E52</f>
        <v>197716</v>
      </c>
    </row>
    <row r="53" spans="1:5" ht="15" customHeight="1">
      <c r="A53" s="564" t="s">
        <v>79</v>
      </c>
      <c r="B53" s="340" t="s">
        <v>44</v>
      </c>
      <c r="C53" s="413"/>
      <c r="D53" s="413"/>
      <c r="E53" s="666">
        <f>+'8.2.1. sz. mell.'!E53+'8.2.2. sz. mell.'!E53+'8.2.3. sz. mell.'!E53</f>
        <v>0</v>
      </c>
    </row>
    <row r="54" spans="1:5" ht="13.5" thickBot="1">
      <c r="A54" s="564" t="s">
        <v>80</v>
      </c>
      <c r="B54" s="340" t="s">
        <v>673</v>
      </c>
      <c r="C54" s="413"/>
      <c r="D54" s="413"/>
      <c r="E54" s="665">
        <f>+'8.2.1. sz. mell.'!E54+'8.2.2. sz. mell.'!E54+'8.2.3. sz. mell.'!E54</f>
        <v>0</v>
      </c>
    </row>
    <row r="55" spans="1:5" ht="15" customHeight="1" thickBot="1">
      <c r="A55" s="551" t="s">
        <v>9</v>
      </c>
      <c r="B55" s="555" t="s">
        <v>568</v>
      </c>
      <c r="C55" s="109">
        <f>+C44+C50</f>
        <v>83038836</v>
      </c>
      <c r="D55" s="109">
        <f>+D44+D50</f>
        <v>90340258</v>
      </c>
      <c r="E55" s="558">
        <f>+'8.2.1. sz. mell.'!E55+'8.2.2. sz. mell.'!E55+'8.2.3. sz. mell.'!E55</f>
        <v>80782415</v>
      </c>
    </row>
    <row r="56" spans="1:5" ht="13.5" thickBot="1">
      <c r="C56" s="560"/>
      <c r="D56" s="560"/>
      <c r="E56" s="560"/>
    </row>
    <row r="57" spans="1:5" ht="13.5" thickBot="1">
      <c r="A57" s="647" t="s">
        <v>729</v>
      </c>
      <c r="B57" s="648"/>
      <c r="C57" s="113"/>
      <c r="D57" s="113"/>
      <c r="E57" s="549">
        <f>+'8.2.1. sz. mell.'!E57+'8.2.2. sz. mell.'!E57+'8.2.3. sz. mell.'!E57</f>
        <v>16</v>
      </c>
    </row>
    <row r="58" spans="1:5" ht="13.5" thickBot="1">
      <c r="A58" s="649" t="s">
        <v>728</v>
      </c>
      <c r="B58" s="650"/>
      <c r="C58" s="113"/>
      <c r="D58" s="113"/>
      <c r="E58" s="549">
        <f>+'8.2.1. sz. mell.'!E58+'8.2.2. sz. mell.'!E58+'8.2.3. sz. mell.'!E58</f>
        <v>0</v>
      </c>
    </row>
  </sheetData>
  <sheetProtection formatCells="0"/>
  <mergeCells count="4">
    <mergeCell ref="B2:D2"/>
    <mergeCell ref="B3:D3"/>
    <mergeCell ref="A7:E7"/>
    <mergeCell ref="A43:E43"/>
  </mergeCells>
  <phoneticPr fontId="27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92D050"/>
  </sheetPr>
  <dimension ref="A1:E58"/>
  <sheetViews>
    <sheetView zoomScaleNormal="100" zoomScaleSheetLayoutView="145" workbookViewId="0">
      <selection activeCell="E2" sqref="E2"/>
    </sheetView>
  </sheetViews>
  <sheetFormatPr defaultRowHeight="12.75"/>
  <cols>
    <col min="1" max="1" width="18.6640625" style="556" customWidth="1"/>
    <col min="2" max="2" width="62" style="32" customWidth="1"/>
    <col min="3" max="5" width="15.83203125" style="32" customWidth="1"/>
    <col min="6" max="16384" width="9.33203125" style="32"/>
  </cols>
  <sheetData>
    <row r="1" spans="1:5" s="491" customFormat="1" ht="21" customHeight="1" thickBot="1">
      <c r="A1" s="490"/>
      <c r="B1" s="492"/>
      <c r="C1" s="537"/>
      <c r="D1" s="537"/>
      <c r="E1" s="630" t="str">
        <f>+CONCATENATE("8.2.1. melléklet a 15/",LEFT(ÖSSZEFÜGGÉSEK!A4,4)+1,". (V. 30.) önkormányzati rendelethez")</f>
        <v>8.2.1. melléklet a 15/2017. (V. 30.) önkormányzati rendelethez</v>
      </c>
    </row>
    <row r="2" spans="1:5" s="538" customFormat="1" ht="25.5" customHeight="1">
      <c r="A2" s="518" t="s">
        <v>147</v>
      </c>
      <c r="B2" s="866" t="s">
        <v>734</v>
      </c>
      <c r="C2" s="867"/>
      <c r="D2" s="868"/>
      <c r="E2" s="561" t="s">
        <v>49</v>
      </c>
    </row>
    <row r="3" spans="1:5" s="538" customFormat="1" ht="24.75" thickBot="1">
      <c r="A3" s="536" t="s">
        <v>146</v>
      </c>
      <c r="B3" s="869" t="s">
        <v>678</v>
      </c>
      <c r="C3" s="872"/>
      <c r="D3" s="873"/>
      <c r="E3" s="562" t="s">
        <v>47</v>
      </c>
    </row>
    <row r="4" spans="1:5" s="539" customFormat="1" ht="15.95" customHeight="1" thickBot="1">
      <c r="A4" s="493"/>
      <c r="B4" s="493"/>
      <c r="C4" s="494"/>
      <c r="D4" s="494"/>
      <c r="E4" s="494" t="s">
        <v>769</v>
      </c>
    </row>
    <row r="5" spans="1:5" ht="24.75" thickBot="1">
      <c r="A5" s="325" t="s">
        <v>148</v>
      </c>
      <c r="B5" s="326" t="s">
        <v>727</v>
      </c>
      <c r="C5" s="97" t="s">
        <v>178</v>
      </c>
      <c r="D5" s="97" t="s">
        <v>183</v>
      </c>
      <c r="E5" s="495" t="s">
        <v>184</v>
      </c>
    </row>
    <row r="6" spans="1:5" s="540" customFormat="1" ht="12.95" customHeight="1" thickBot="1">
      <c r="A6" s="488" t="s">
        <v>409</v>
      </c>
      <c r="B6" s="489" t="s">
        <v>410</v>
      </c>
      <c r="C6" s="489" t="s">
        <v>411</v>
      </c>
      <c r="D6" s="112" t="s">
        <v>412</v>
      </c>
      <c r="E6" s="110" t="s">
        <v>413</v>
      </c>
    </row>
    <row r="7" spans="1:5" s="540" customFormat="1" ht="15.95" customHeight="1" thickBot="1">
      <c r="A7" s="863" t="s">
        <v>42</v>
      </c>
      <c r="B7" s="864"/>
      <c r="C7" s="864"/>
      <c r="D7" s="864"/>
      <c r="E7" s="865"/>
    </row>
    <row r="8" spans="1:5" s="514" customFormat="1" ht="12" customHeight="1" thickBot="1">
      <c r="A8" s="488" t="s">
        <v>7</v>
      </c>
      <c r="B8" s="552" t="s">
        <v>549</v>
      </c>
      <c r="C8" s="419">
        <f>SUM(C9:C18)</f>
        <v>24688100</v>
      </c>
      <c r="D8" s="581">
        <f>SUM(D9:D18)</f>
        <v>28455350</v>
      </c>
      <c r="E8" s="558">
        <f>SUM(E9:E18)</f>
        <v>29812445</v>
      </c>
    </row>
    <row r="9" spans="1:5" s="514" customFormat="1" ht="12" customHeight="1">
      <c r="A9" s="563" t="s">
        <v>71</v>
      </c>
      <c r="B9" s="342" t="s">
        <v>328</v>
      </c>
      <c r="C9" s="106"/>
      <c r="D9" s="582">
        <v>1500000</v>
      </c>
      <c r="E9" s="547">
        <f>2455595-'8.2.2. sz. mell.'!E9</f>
        <v>1423943</v>
      </c>
    </row>
    <row r="10" spans="1:5" s="514" customFormat="1" ht="12" customHeight="1">
      <c r="A10" s="564" t="s">
        <v>72</v>
      </c>
      <c r="B10" s="340" t="s">
        <v>329</v>
      </c>
      <c r="C10" s="416">
        <v>18588100</v>
      </c>
      <c r="D10" s="583">
        <v>20088100</v>
      </c>
      <c r="E10" s="115">
        <v>20423044</v>
      </c>
    </row>
    <row r="11" spans="1:5" s="514" customFormat="1" ht="12" customHeight="1">
      <c r="A11" s="564" t="s">
        <v>73</v>
      </c>
      <c r="B11" s="340" t="s">
        <v>330</v>
      </c>
      <c r="C11" s="416">
        <v>308000</v>
      </c>
      <c r="D11" s="583">
        <v>390000</v>
      </c>
      <c r="E11" s="115">
        <v>439132</v>
      </c>
    </row>
    <row r="12" spans="1:5" s="514" customFormat="1" ht="12" customHeight="1">
      <c r="A12" s="564" t="s">
        <v>74</v>
      </c>
      <c r="B12" s="340" t="s">
        <v>331</v>
      </c>
      <c r="C12" s="416"/>
      <c r="D12" s="583"/>
      <c r="E12" s="115"/>
    </row>
    <row r="13" spans="1:5" s="514" customFormat="1" ht="12" customHeight="1">
      <c r="A13" s="564" t="s">
        <v>107</v>
      </c>
      <c r="B13" s="340" t="s">
        <v>332</v>
      </c>
      <c r="C13" s="416"/>
      <c r="D13" s="583"/>
      <c r="E13" s="115"/>
    </row>
    <row r="14" spans="1:5" s="514" customFormat="1" ht="12" customHeight="1">
      <c r="A14" s="564" t="s">
        <v>75</v>
      </c>
      <c r="B14" s="340" t="s">
        <v>550</v>
      </c>
      <c r="C14" s="416">
        <v>2792000</v>
      </c>
      <c r="D14" s="583">
        <v>3602000</v>
      </c>
      <c r="E14" s="115">
        <f>4648384-'8.2.2. sz. mell.'!E14</f>
        <v>4369836</v>
      </c>
    </row>
    <row r="15" spans="1:5" s="541" customFormat="1" ht="12" customHeight="1">
      <c r="A15" s="564" t="s">
        <v>76</v>
      </c>
      <c r="B15" s="339" t="s">
        <v>551</v>
      </c>
      <c r="C15" s="416">
        <v>3000000</v>
      </c>
      <c r="D15" s="583">
        <v>2775000</v>
      </c>
      <c r="E15" s="115">
        <v>2775000</v>
      </c>
    </row>
    <row r="16" spans="1:5" s="541" customFormat="1" ht="12" customHeight="1">
      <c r="A16" s="564" t="s">
        <v>84</v>
      </c>
      <c r="B16" s="340" t="s">
        <v>335</v>
      </c>
      <c r="C16" s="107"/>
      <c r="D16" s="584">
        <v>150</v>
      </c>
      <c r="E16" s="546">
        <v>98</v>
      </c>
    </row>
    <row r="17" spans="1:5" s="514" customFormat="1" ht="12" customHeight="1">
      <c r="A17" s="564" t="s">
        <v>85</v>
      </c>
      <c r="B17" s="340" t="s">
        <v>337</v>
      </c>
      <c r="C17" s="416"/>
      <c r="D17" s="583"/>
      <c r="E17" s="115"/>
    </row>
    <row r="18" spans="1:5" s="541" customFormat="1" ht="12" customHeight="1" thickBot="1">
      <c r="A18" s="564" t="s">
        <v>86</v>
      </c>
      <c r="B18" s="339" t="s">
        <v>339</v>
      </c>
      <c r="C18" s="418"/>
      <c r="D18" s="116">
        <v>100100</v>
      </c>
      <c r="E18" s="542">
        <v>381392</v>
      </c>
    </row>
    <row r="19" spans="1:5" s="541" customFormat="1" ht="12" customHeight="1" thickBot="1">
      <c r="A19" s="488" t="s">
        <v>8</v>
      </c>
      <c r="B19" s="552" t="s">
        <v>552</v>
      </c>
      <c r="C19" s="419">
        <f>SUM(C20:C22)</f>
        <v>0</v>
      </c>
      <c r="D19" s="581">
        <f>SUM(D20:D22)</f>
        <v>0</v>
      </c>
      <c r="E19" s="558">
        <f>SUM(E20:E22)</f>
        <v>1402528</v>
      </c>
    </row>
    <row r="20" spans="1:5" s="541" customFormat="1" ht="12" customHeight="1">
      <c r="A20" s="564" t="s">
        <v>77</v>
      </c>
      <c r="B20" s="341" t="s">
        <v>309</v>
      </c>
      <c r="C20" s="416"/>
      <c r="D20" s="583"/>
      <c r="E20" s="115"/>
    </row>
    <row r="21" spans="1:5" s="541" customFormat="1" ht="12" customHeight="1">
      <c r="A21" s="564" t="s">
        <v>78</v>
      </c>
      <c r="B21" s="340" t="s">
        <v>553</v>
      </c>
      <c r="C21" s="416"/>
      <c r="D21" s="583"/>
      <c r="E21" s="115"/>
    </row>
    <row r="22" spans="1:5" s="541" customFormat="1" ht="12" customHeight="1">
      <c r="A22" s="564" t="s">
        <v>79</v>
      </c>
      <c r="B22" s="340" t="s">
        <v>554</v>
      </c>
      <c r="C22" s="416"/>
      <c r="D22" s="583"/>
      <c r="E22" s="115">
        <v>1402528</v>
      </c>
    </row>
    <row r="23" spans="1:5" s="514" customFormat="1" ht="12" customHeight="1" thickBot="1">
      <c r="A23" s="564" t="s">
        <v>80</v>
      </c>
      <c r="B23" s="340" t="s">
        <v>671</v>
      </c>
      <c r="C23" s="416"/>
      <c r="D23" s="583"/>
      <c r="E23" s="115"/>
    </row>
    <row r="24" spans="1:5" s="514" customFormat="1" ht="12" customHeight="1" thickBot="1">
      <c r="A24" s="551" t="s">
        <v>9</v>
      </c>
      <c r="B24" s="360" t="s">
        <v>124</v>
      </c>
      <c r="C24" s="41"/>
      <c r="D24" s="585"/>
      <c r="E24" s="557"/>
    </row>
    <row r="25" spans="1:5" s="514" customFormat="1" ht="12" customHeight="1" thickBot="1">
      <c r="A25" s="551" t="s">
        <v>10</v>
      </c>
      <c r="B25" s="360" t="s">
        <v>555</v>
      </c>
      <c r="C25" s="419">
        <f>+C26+C27</f>
        <v>0</v>
      </c>
      <c r="D25" s="581">
        <f>+D26+D27</f>
        <v>0</v>
      </c>
      <c r="E25" s="558">
        <f>+E26+E27</f>
        <v>0</v>
      </c>
    </row>
    <row r="26" spans="1:5" s="514" customFormat="1" ht="12" customHeight="1">
      <c r="A26" s="565" t="s">
        <v>322</v>
      </c>
      <c r="B26" s="566" t="s">
        <v>553</v>
      </c>
      <c r="C26" s="103"/>
      <c r="D26" s="572"/>
      <c r="E26" s="545"/>
    </row>
    <row r="27" spans="1:5" s="514" customFormat="1" ht="12" customHeight="1">
      <c r="A27" s="565" t="s">
        <v>323</v>
      </c>
      <c r="B27" s="567" t="s">
        <v>556</v>
      </c>
      <c r="C27" s="420"/>
      <c r="D27" s="586"/>
      <c r="E27" s="544"/>
    </row>
    <row r="28" spans="1:5" s="514" customFormat="1" ht="12" customHeight="1" thickBot="1">
      <c r="A28" s="564" t="s">
        <v>324</v>
      </c>
      <c r="B28" s="568" t="s">
        <v>672</v>
      </c>
      <c r="C28" s="548"/>
      <c r="D28" s="587"/>
      <c r="E28" s="543"/>
    </row>
    <row r="29" spans="1:5" s="514" customFormat="1" ht="12" customHeight="1" thickBot="1">
      <c r="A29" s="551" t="s">
        <v>11</v>
      </c>
      <c r="B29" s="360" t="s">
        <v>557</v>
      </c>
      <c r="C29" s="419">
        <f>+C30+C31+C32</f>
        <v>0</v>
      </c>
      <c r="D29" s="581">
        <f>+D30+D31+D32</f>
        <v>0</v>
      </c>
      <c r="E29" s="558">
        <f>+E30+E31+E32</f>
        <v>0</v>
      </c>
    </row>
    <row r="30" spans="1:5" s="514" customFormat="1" ht="12" customHeight="1">
      <c r="A30" s="565" t="s">
        <v>64</v>
      </c>
      <c r="B30" s="566" t="s">
        <v>341</v>
      </c>
      <c r="C30" s="103"/>
      <c r="D30" s="572"/>
      <c r="E30" s="545"/>
    </row>
    <row r="31" spans="1:5" s="514" customFormat="1" ht="12" customHeight="1">
      <c r="A31" s="565" t="s">
        <v>65</v>
      </c>
      <c r="B31" s="567" t="s">
        <v>342</v>
      </c>
      <c r="C31" s="420"/>
      <c r="D31" s="586"/>
      <c r="E31" s="544"/>
    </row>
    <row r="32" spans="1:5" s="514" customFormat="1" ht="12" customHeight="1" thickBot="1">
      <c r="A32" s="564" t="s">
        <v>66</v>
      </c>
      <c r="B32" s="550" t="s">
        <v>344</v>
      </c>
      <c r="C32" s="548"/>
      <c r="D32" s="587"/>
      <c r="E32" s="543"/>
    </row>
    <row r="33" spans="1:5" s="514" customFormat="1" ht="12" customHeight="1" thickBot="1">
      <c r="A33" s="551" t="s">
        <v>12</v>
      </c>
      <c r="B33" s="360" t="s">
        <v>469</v>
      </c>
      <c r="C33" s="41"/>
      <c r="D33" s="585"/>
      <c r="E33" s="557"/>
    </row>
    <row r="34" spans="1:5" s="514" customFormat="1" ht="12" customHeight="1" thickBot="1">
      <c r="A34" s="551" t="s">
        <v>13</v>
      </c>
      <c r="B34" s="360" t="s">
        <v>558</v>
      </c>
      <c r="C34" s="41"/>
      <c r="D34" s="585"/>
      <c r="E34" s="557"/>
    </row>
    <row r="35" spans="1:5" s="514" customFormat="1" ht="12" customHeight="1" thickBot="1">
      <c r="A35" s="488" t="s">
        <v>14</v>
      </c>
      <c r="B35" s="360" t="s">
        <v>559</v>
      </c>
      <c r="C35" s="419">
        <f>+C8+C19+C24+C25+C29+C33+C34</f>
        <v>24688100</v>
      </c>
      <c r="D35" s="581">
        <f>+D8+D19+D24+D25+D29+D33+D34</f>
        <v>28455350</v>
      </c>
      <c r="E35" s="558">
        <f>+E8+E19+E24+E25+E29+E33+E34</f>
        <v>31214973</v>
      </c>
    </row>
    <row r="36" spans="1:5" s="541" customFormat="1" ht="12" customHeight="1" thickBot="1">
      <c r="A36" s="553" t="s">
        <v>15</v>
      </c>
      <c r="B36" s="360" t="s">
        <v>560</v>
      </c>
      <c r="C36" s="419">
        <f>+C37+C38+C39</f>
        <v>57450736</v>
      </c>
      <c r="D36" s="581">
        <f>+D37+D38+D39</f>
        <v>60759908</v>
      </c>
      <c r="E36" s="558">
        <f>+E37+E38+E39</f>
        <v>50415792</v>
      </c>
    </row>
    <row r="37" spans="1:5" s="541" customFormat="1" ht="15" customHeight="1">
      <c r="A37" s="565" t="s">
        <v>561</v>
      </c>
      <c r="B37" s="566" t="s">
        <v>165</v>
      </c>
      <c r="C37" s="103"/>
      <c r="D37" s="572">
        <v>609172</v>
      </c>
      <c r="E37" s="545">
        <v>609172</v>
      </c>
    </row>
    <row r="38" spans="1:5" s="541" customFormat="1" ht="15" customHeight="1">
      <c r="A38" s="565" t="s">
        <v>562</v>
      </c>
      <c r="B38" s="567" t="s">
        <v>3</v>
      </c>
      <c r="C38" s="420"/>
      <c r="D38" s="586"/>
      <c r="E38" s="544"/>
    </row>
    <row r="39" spans="1:5" ht="13.5" thickBot="1">
      <c r="A39" s="564" t="s">
        <v>563</v>
      </c>
      <c r="B39" s="550" t="s">
        <v>564</v>
      </c>
      <c r="C39" s="548">
        <v>57450736</v>
      </c>
      <c r="D39" s="587">
        <v>60150736</v>
      </c>
      <c r="E39" s="543">
        <v>49806620</v>
      </c>
    </row>
    <row r="40" spans="1:5" s="540" customFormat="1" ht="16.5" customHeight="1" thickBot="1">
      <c r="A40" s="553" t="s">
        <v>16</v>
      </c>
      <c r="B40" s="554" t="s">
        <v>565</v>
      </c>
      <c r="C40" s="109">
        <f>+C35+C36</f>
        <v>82138836</v>
      </c>
      <c r="D40" s="588">
        <f>+D35+D36</f>
        <v>89215258</v>
      </c>
      <c r="E40" s="559">
        <f>+E35+E36</f>
        <v>81630765</v>
      </c>
    </row>
    <row r="41" spans="1:5" s="315" customFormat="1" ht="12" customHeight="1">
      <c r="A41" s="496"/>
      <c r="B41" s="497"/>
      <c r="C41" s="512"/>
      <c r="D41" s="512"/>
      <c r="E41" s="512"/>
    </row>
    <row r="42" spans="1:5" ht="12" customHeight="1" thickBot="1">
      <c r="A42" s="498"/>
      <c r="B42" s="499"/>
      <c r="C42" s="513"/>
      <c r="D42" s="513"/>
      <c r="E42" s="513"/>
    </row>
    <row r="43" spans="1:5" ht="12" customHeight="1" thickBot="1">
      <c r="A43" s="863" t="s">
        <v>43</v>
      </c>
      <c r="B43" s="864"/>
      <c r="C43" s="864"/>
      <c r="D43" s="864"/>
      <c r="E43" s="865"/>
    </row>
    <row r="44" spans="1:5" ht="12" customHeight="1" thickBot="1">
      <c r="A44" s="551" t="s">
        <v>7</v>
      </c>
      <c r="B44" s="360" t="s">
        <v>566</v>
      </c>
      <c r="C44" s="419">
        <f>SUM(C45:C49)</f>
        <v>82138836</v>
      </c>
      <c r="D44" s="419">
        <f>SUM(D45:D49)</f>
        <v>87095258</v>
      </c>
      <c r="E44" s="558">
        <f>SUM(E45:E49)</f>
        <v>78445179</v>
      </c>
    </row>
    <row r="45" spans="1:5" ht="12" customHeight="1">
      <c r="A45" s="564" t="s">
        <v>71</v>
      </c>
      <c r="B45" s="341" t="s">
        <v>37</v>
      </c>
      <c r="C45" s="103">
        <v>25070000</v>
      </c>
      <c r="D45" s="103">
        <v>24310000</v>
      </c>
      <c r="E45" s="545">
        <v>23381194</v>
      </c>
    </row>
    <row r="46" spans="1:5" ht="12" customHeight="1">
      <c r="A46" s="564" t="s">
        <v>72</v>
      </c>
      <c r="B46" s="340" t="s">
        <v>133</v>
      </c>
      <c r="C46" s="413">
        <v>6766000</v>
      </c>
      <c r="D46" s="413">
        <v>7526000</v>
      </c>
      <c r="E46" s="569">
        <v>6521761</v>
      </c>
    </row>
    <row r="47" spans="1:5" ht="12" customHeight="1">
      <c r="A47" s="564" t="s">
        <v>73</v>
      </c>
      <c r="B47" s="340" t="s">
        <v>100</v>
      </c>
      <c r="C47" s="413">
        <v>50302836</v>
      </c>
      <c r="D47" s="413">
        <v>55018560</v>
      </c>
      <c r="E47" s="569">
        <f>48808298-506772</f>
        <v>48301526</v>
      </c>
    </row>
    <row r="48" spans="1:5" s="315" customFormat="1" ht="12" customHeight="1">
      <c r="A48" s="564" t="s">
        <v>74</v>
      </c>
      <c r="B48" s="340" t="s">
        <v>134</v>
      </c>
      <c r="C48" s="413"/>
      <c r="D48" s="413"/>
      <c r="E48" s="569"/>
    </row>
    <row r="49" spans="1:5" ht="12" customHeight="1" thickBot="1">
      <c r="A49" s="564" t="s">
        <v>107</v>
      </c>
      <c r="B49" s="340" t="s">
        <v>135</v>
      </c>
      <c r="C49" s="413"/>
      <c r="D49" s="413">
        <v>240698</v>
      </c>
      <c r="E49" s="569">
        <v>240698</v>
      </c>
    </row>
    <row r="50" spans="1:5" ht="12" customHeight="1" thickBot="1">
      <c r="A50" s="551" t="s">
        <v>8</v>
      </c>
      <c r="B50" s="360" t="s">
        <v>567</v>
      </c>
      <c r="C50" s="419">
        <f>SUM(C51:C53)</f>
        <v>0</v>
      </c>
      <c r="D50" s="419">
        <f>SUM(D51:D53)</f>
        <v>2120000</v>
      </c>
      <c r="E50" s="558">
        <f>SUM(E51:E53)</f>
        <v>1830464</v>
      </c>
    </row>
    <row r="51" spans="1:5" ht="12" customHeight="1">
      <c r="A51" s="564" t="s">
        <v>77</v>
      </c>
      <c r="B51" s="341" t="s">
        <v>155</v>
      </c>
      <c r="C51" s="103"/>
      <c r="D51" s="103">
        <v>1820000</v>
      </c>
      <c r="E51" s="545">
        <v>1632748</v>
      </c>
    </row>
    <row r="52" spans="1:5" ht="12" customHeight="1">
      <c r="A52" s="564" t="s">
        <v>78</v>
      </c>
      <c r="B52" s="340" t="s">
        <v>137</v>
      </c>
      <c r="C52" s="413"/>
      <c r="D52" s="413">
        <v>300000</v>
      </c>
      <c r="E52" s="569">
        <v>197716</v>
      </c>
    </row>
    <row r="53" spans="1:5" ht="15" customHeight="1">
      <c r="A53" s="564" t="s">
        <v>79</v>
      </c>
      <c r="B53" s="340" t="s">
        <v>44</v>
      </c>
      <c r="C53" s="413"/>
      <c r="D53" s="413"/>
      <c r="E53" s="569"/>
    </row>
    <row r="54" spans="1:5" ht="13.5" thickBot="1">
      <c r="A54" s="564" t="s">
        <v>80</v>
      </c>
      <c r="B54" s="340" t="s">
        <v>673</v>
      </c>
      <c r="C54" s="413"/>
      <c r="D54" s="413"/>
      <c r="E54" s="569"/>
    </row>
    <row r="55" spans="1:5" ht="15" customHeight="1" thickBot="1">
      <c r="A55" s="551" t="s">
        <v>9</v>
      </c>
      <c r="B55" s="555" t="s">
        <v>568</v>
      </c>
      <c r="C55" s="109">
        <f>+C44+C50</f>
        <v>82138836</v>
      </c>
      <c r="D55" s="109">
        <f>+D44+D50</f>
        <v>89215258</v>
      </c>
      <c r="E55" s="559">
        <f>+E44+E50</f>
        <v>80275643</v>
      </c>
    </row>
    <row r="56" spans="1:5" ht="13.5" thickBot="1">
      <c r="C56" s="560"/>
      <c r="D56" s="560"/>
      <c r="E56" s="560"/>
    </row>
    <row r="57" spans="1:5" ht="13.5" thickBot="1">
      <c r="A57" s="647" t="s">
        <v>729</v>
      </c>
      <c r="B57" s="648"/>
      <c r="C57" s="113"/>
      <c r="D57" s="113"/>
      <c r="E57" s="549">
        <v>16</v>
      </c>
    </row>
    <row r="58" spans="1:5" ht="13.5" thickBot="1">
      <c r="A58" s="649" t="s">
        <v>728</v>
      </c>
      <c r="B58" s="650"/>
      <c r="C58" s="113"/>
      <c r="D58" s="113"/>
      <c r="E58" s="549"/>
    </row>
  </sheetData>
  <sheetProtection formatCells="0"/>
  <mergeCells count="4">
    <mergeCell ref="B2:D2"/>
    <mergeCell ref="B3:D3"/>
    <mergeCell ref="A7:E7"/>
    <mergeCell ref="A43:E43"/>
  </mergeCells>
  <phoneticPr fontId="27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92D050"/>
  </sheetPr>
  <dimension ref="A1:E58"/>
  <sheetViews>
    <sheetView zoomScaleNormal="100" zoomScaleSheetLayoutView="145" workbookViewId="0">
      <selection activeCell="E2" sqref="E2"/>
    </sheetView>
  </sheetViews>
  <sheetFormatPr defaultRowHeight="12.75"/>
  <cols>
    <col min="1" max="1" width="18.6640625" style="556" customWidth="1"/>
    <col min="2" max="2" width="62" style="32" customWidth="1"/>
    <col min="3" max="5" width="15.83203125" style="32" customWidth="1"/>
    <col min="6" max="16384" width="9.33203125" style="32"/>
  </cols>
  <sheetData>
    <row r="1" spans="1:5" s="491" customFormat="1" ht="21" customHeight="1" thickBot="1">
      <c r="A1" s="490"/>
      <c r="B1" s="492"/>
      <c r="C1" s="537"/>
      <c r="D1" s="537"/>
      <c r="E1" s="630" t="str">
        <f>+CONCATENATE("8.2.2. melléklet a 15/",LEFT(ÖSSZEFÜGGÉSEK!A4,4)+1,". (V. 30.) önkormányzati rendelethez")</f>
        <v>8.2.2. melléklet a 15/2017. (V. 30.) önkormányzati rendelethez</v>
      </c>
    </row>
    <row r="2" spans="1:5" s="538" customFormat="1" ht="25.5" customHeight="1">
      <c r="A2" s="518" t="s">
        <v>147</v>
      </c>
      <c r="B2" s="866" t="s">
        <v>734</v>
      </c>
      <c r="C2" s="867"/>
      <c r="D2" s="868"/>
      <c r="E2" s="561" t="s">
        <v>49</v>
      </c>
    </row>
    <row r="3" spans="1:5" s="538" customFormat="1" ht="24.75" thickBot="1">
      <c r="A3" s="536" t="s">
        <v>146</v>
      </c>
      <c r="B3" s="869" t="s">
        <v>670</v>
      </c>
      <c r="C3" s="872"/>
      <c r="D3" s="873"/>
      <c r="E3" s="562" t="s">
        <v>48</v>
      </c>
    </row>
    <row r="4" spans="1:5" s="539" customFormat="1" ht="15.95" customHeight="1" thickBot="1">
      <c r="A4" s="493"/>
      <c r="B4" s="493"/>
      <c r="C4" s="494"/>
      <c r="D4" s="494"/>
      <c r="E4" s="494" t="s">
        <v>769</v>
      </c>
    </row>
    <row r="5" spans="1:5" ht="24.75" thickBot="1">
      <c r="A5" s="325" t="s">
        <v>148</v>
      </c>
      <c r="B5" s="326" t="s">
        <v>727</v>
      </c>
      <c r="C5" s="97" t="s">
        <v>178</v>
      </c>
      <c r="D5" s="97" t="s">
        <v>183</v>
      </c>
      <c r="E5" s="495" t="s">
        <v>184</v>
      </c>
    </row>
    <row r="6" spans="1:5" s="540" customFormat="1" ht="12.95" customHeight="1" thickBot="1">
      <c r="A6" s="488" t="s">
        <v>409</v>
      </c>
      <c r="B6" s="489" t="s">
        <v>410</v>
      </c>
      <c r="C6" s="489" t="s">
        <v>411</v>
      </c>
      <c r="D6" s="112" t="s">
        <v>412</v>
      </c>
      <c r="E6" s="110" t="s">
        <v>413</v>
      </c>
    </row>
    <row r="7" spans="1:5" s="540" customFormat="1" ht="15.95" customHeight="1" thickBot="1">
      <c r="A7" s="863" t="s">
        <v>42</v>
      </c>
      <c r="B7" s="864"/>
      <c r="C7" s="864"/>
      <c r="D7" s="864"/>
      <c r="E7" s="865"/>
    </row>
    <row r="8" spans="1:5" s="514" customFormat="1" ht="12" customHeight="1" thickBot="1">
      <c r="A8" s="488" t="s">
        <v>7</v>
      </c>
      <c r="B8" s="552" t="s">
        <v>549</v>
      </c>
      <c r="C8" s="419">
        <f>SUM(C9:C18)</f>
        <v>900000</v>
      </c>
      <c r="D8" s="581">
        <f>SUM(D9:D18)</f>
        <v>1125000</v>
      </c>
      <c r="E8" s="558">
        <f>SUM(E9:E18)</f>
        <v>1310200</v>
      </c>
    </row>
    <row r="9" spans="1:5" s="514" customFormat="1" ht="12" customHeight="1">
      <c r="A9" s="563" t="s">
        <v>71</v>
      </c>
      <c r="B9" s="342" t="s">
        <v>328</v>
      </c>
      <c r="C9" s="106">
        <v>709000</v>
      </c>
      <c r="D9" s="582">
        <v>934000</v>
      </c>
      <c r="E9" s="547">
        <v>1031652</v>
      </c>
    </row>
    <row r="10" spans="1:5" s="514" customFormat="1" ht="12" customHeight="1">
      <c r="A10" s="564" t="s">
        <v>72</v>
      </c>
      <c r="B10" s="340" t="s">
        <v>329</v>
      </c>
      <c r="C10" s="416"/>
      <c r="D10" s="583"/>
      <c r="E10" s="115"/>
    </row>
    <row r="11" spans="1:5" s="514" customFormat="1" ht="12" customHeight="1">
      <c r="A11" s="564" t="s">
        <v>73</v>
      </c>
      <c r="B11" s="340" t="s">
        <v>330</v>
      </c>
      <c r="C11" s="416"/>
      <c r="D11" s="583"/>
      <c r="E11" s="115"/>
    </row>
    <row r="12" spans="1:5" s="514" customFormat="1" ht="12" customHeight="1">
      <c r="A12" s="564" t="s">
        <v>74</v>
      </c>
      <c r="B12" s="340" t="s">
        <v>331</v>
      </c>
      <c r="C12" s="416"/>
      <c r="D12" s="583"/>
      <c r="E12" s="115"/>
    </row>
    <row r="13" spans="1:5" s="514" customFormat="1" ht="12" customHeight="1">
      <c r="A13" s="564" t="s">
        <v>107</v>
      </c>
      <c r="B13" s="340" t="s">
        <v>332</v>
      </c>
      <c r="C13" s="416"/>
      <c r="D13" s="583"/>
      <c r="E13" s="115"/>
    </row>
    <row r="14" spans="1:5" s="514" customFormat="1" ht="12" customHeight="1">
      <c r="A14" s="564" t="s">
        <v>75</v>
      </c>
      <c r="B14" s="340" t="s">
        <v>550</v>
      </c>
      <c r="C14" s="416">
        <v>191000</v>
      </c>
      <c r="D14" s="583">
        <v>191000</v>
      </c>
      <c r="E14" s="115">
        <v>278548</v>
      </c>
    </row>
    <row r="15" spans="1:5" s="541" customFormat="1" ht="12" customHeight="1">
      <c r="A15" s="564" t="s">
        <v>76</v>
      </c>
      <c r="B15" s="339" t="s">
        <v>551</v>
      </c>
      <c r="C15" s="416"/>
      <c r="D15" s="583"/>
      <c r="E15" s="115"/>
    </row>
    <row r="16" spans="1:5" s="541" customFormat="1" ht="12" customHeight="1">
      <c r="A16" s="564" t="s">
        <v>84</v>
      </c>
      <c r="B16" s="340" t="s">
        <v>335</v>
      </c>
      <c r="C16" s="107"/>
      <c r="D16" s="584"/>
      <c r="E16" s="546"/>
    </row>
    <row r="17" spans="1:5" s="514" customFormat="1" ht="12" customHeight="1">
      <c r="A17" s="564" t="s">
        <v>85</v>
      </c>
      <c r="B17" s="340" t="s">
        <v>337</v>
      </c>
      <c r="C17" s="416"/>
      <c r="D17" s="583"/>
      <c r="E17" s="115"/>
    </row>
    <row r="18" spans="1:5" s="541" customFormat="1" ht="12" customHeight="1" thickBot="1">
      <c r="A18" s="564" t="s">
        <v>86</v>
      </c>
      <c r="B18" s="339" t="s">
        <v>339</v>
      </c>
      <c r="C18" s="418"/>
      <c r="D18" s="116"/>
      <c r="E18" s="542"/>
    </row>
    <row r="19" spans="1:5" s="541" customFormat="1" ht="12" customHeight="1" thickBot="1">
      <c r="A19" s="488" t="s">
        <v>8</v>
      </c>
      <c r="B19" s="552" t="s">
        <v>552</v>
      </c>
      <c r="C19" s="419">
        <f>SUM(C20:C22)</f>
        <v>0</v>
      </c>
      <c r="D19" s="581">
        <f>SUM(D20:D22)</f>
        <v>0</v>
      </c>
      <c r="E19" s="558">
        <f>SUM(E20:E22)</f>
        <v>0</v>
      </c>
    </row>
    <row r="20" spans="1:5" s="541" customFormat="1" ht="12" customHeight="1">
      <c r="A20" s="564" t="s">
        <v>77</v>
      </c>
      <c r="B20" s="341" t="s">
        <v>309</v>
      </c>
      <c r="C20" s="416"/>
      <c r="D20" s="583"/>
      <c r="E20" s="115"/>
    </row>
    <row r="21" spans="1:5" s="541" customFormat="1" ht="12" customHeight="1">
      <c r="A21" s="564" t="s">
        <v>78</v>
      </c>
      <c r="B21" s="340" t="s">
        <v>553</v>
      </c>
      <c r="C21" s="416"/>
      <c r="D21" s="583"/>
      <c r="E21" s="115"/>
    </row>
    <row r="22" spans="1:5" s="541" customFormat="1" ht="12" customHeight="1">
      <c r="A22" s="564" t="s">
        <v>79</v>
      </c>
      <c r="B22" s="340" t="s">
        <v>554</v>
      </c>
      <c r="C22" s="416"/>
      <c r="D22" s="583"/>
      <c r="E22" s="115"/>
    </row>
    <row r="23" spans="1:5" s="514" customFormat="1" ht="12" customHeight="1" thickBot="1">
      <c r="A23" s="564" t="s">
        <v>80</v>
      </c>
      <c r="B23" s="340" t="s">
        <v>671</v>
      </c>
      <c r="C23" s="416"/>
      <c r="D23" s="583"/>
      <c r="E23" s="115"/>
    </row>
    <row r="24" spans="1:5" s="514" customFormat="1" ht="12" customHeight="1" thickBot="1">
      <c r="A24" s="551" t="s">
        <v>9</v>
      </c>
      <c r="B24" s="360" t="s">
        <v>124</v>
      </c>
      <c r="C24" s="41"/>
      <c r="D24" s="585"/>
      <c r="E24" s="557"/>
    </row>
    <row r="25" spans="1:5" s="514" customFormat="1" ht="12" customHeight="1" thickBot="1">
      <c r="A25" s="551" t="s">
        <v>10</v>
      </c>
      <c r="B25" s="360" t="s">
        <v>555</v>
      </c>
      <c r="C25" s="419">
        <f>+C26+C27</f>
        <v>0</v>
      </c>
      <c r="D25" s="581">
        <f>+D26+D27</f>
        <v>0</v>
      </c>
      <c r="E25" s="558">
        <f>+E26+E27</f>
        <v>0</v>
      </c>
    </row>
    <row r="26" spans="1:5" s="514" customFormat="1" ht="12" customHeight="1">
      <c r="A26" s="565" t="s">
        <v>322</v>
      </c>
      <c r="B26" s="566" t="s">
        <v>553</v>
      </c>
      <c r="C26" s="103"/>
      <c r="D26" s="572"/>
      <c r="E26" s="545"/>
    </row>
    <row r="27" spans="1:5" s="514" customFormat="1" ht="12" customHeight="1">
      <c r="A27" s="565" t="s">
        <v>323</v>
      </c>
      <c r="B27" s="567" t="s">
        <v>556</v>
      </c>
      <c r="C27" s="420"/>
      <c r="D27" s="586"/>
      <c r="E27" s="544"/>
    </row>
    <row r="28" spans="1:5" s="514" customFormat="1" ht="12" customHeight="1" thickBot="1">
      <c r="A28" s="564" t="s">
        <v>324</v>
      </c>
      <c r="B28" s="568" t="s">
        <v>672</v>
      </c>
      <c r="C28" s="548"/>
      <c r="D28" s="587"/>
      <c r="E28" s="543"/>
    </row>
    <row r="29" spans="1:5" s="514" customFormat="1" ht="12" customHeight="1" thickBot="1">
      <c r="A29" s="551" t="s">
        <v>11</v>
      </c>
      <c r="B29" s="360" t="s">
        <v>557</v>
      </c>
      <c r="C29" s="419">
        <f>+C30+C31+C32</f>
        <v>0</v>
      </c>
      <c r="D29" s="581">
        <f>+D30+D31+D32</f>
        <v>0</v>
      </c>
      <c r="E29" s="558">
        <f>+E30+E31+E32</f>
        <v>0</v>
      </c>
    </row>
    <row r="30" spans="1:5" s="514" customFormat="1" ht="12" customHeight="1">
      <c r="A30" s="565" t="s">
        <v>64</v>
      </c>
      <c r="B30" s="566" t="s">
        <v>341</v>
      </c>
      <c r="C30" s="103"/>
      <c r="D30" s="572"/>
      <c r="E30" s="545"/>
    </row>
    <row r="31" spans="1:5" s="514" customFormat="1" ht="12" customHeight="1">
      <c r="A31" s="565" t="s">
        <v>65</v>
      </c>
      <c r="B31" s="567" t="s">
        <v>342</v>
      </c>
      <c r="C31" s="420"/>
      <c r="D31" s="586"/>
      <c r="E31" s="544"/>
    </row>
    <row r="32" spans="1:5" s="514" customFormat="1" ht="12" customHeight="1" thickBot="1">
      <c r="A32" s="564" t="s">
        <v>66</v>
      </c>
      <c r="B32" s="550" t="s">
        <v>344</v>
      </c>
      <c r="C32" s="548"/>
      <c r="D32" s="587"/>
      <c r="E32" s="543"/>
    </row>
    <row r="33" spans="1:5" s="514" customFormat="1" ht="12" customHeight="1" thickBot="1">
      <c r="A33" s="551" t="s">
        <v>12</v>
      </c>
      <c r="B33" s="360" t="s">
        <v>469</v>
      </c>
      <c r="C33" s="41"/>
      <c r="D33" s="585"/>
      <c r="E33" s="557"/>
    </row>
    <row r="34" spans="1:5" s="514" customFormat="1" ht="12" customHeight="1" thickBot="1">
      <c r="A34" s="551" t="s">
        <v>13</v>
      </c>
      <c r="B34" s="360" t="s">
        <v>558</v>
      </c>
      <c r="C34" s="41"/>
      <c r="D34" s="585"/>
      <c r="E34" s="557"/>
    </row>
    <row r="35" spans="1:5" s="514" customFormat="1" ht="12" customHeight="1" thickBot="1">
      <c r="A35" s="488" t="s">
        <v>14</v>
      </c>
      <c r="B35" s="360" t="s">
        <v>559</v>
      </c>
      <c r="C35" s="419">
        <f>+C8+C19+C24+C25+C29+C33+C34</f>
        <v>900000</v>
      </c>
      <c r="D35" s="581">
        <f>+D8+D19+D24+D25+D29+D33+D34</f>
        <v>1125000</v>
      </c>
      <c r="E35" s="558">
        <f>+E8+E19+E24+E25+E29+E33+E34</f>
        <v>1310200</v>
      </c>
    </row>
    <row r="36" spans="1:5" s="541" customFormat="1" ht="12" customHeight="1" thickBot="1">
      <c r="A36" s="553" t="s">
        <v>15</v>
      </c>
      <c r="B36" s="360" t="s">
        <v>560</v>
      </c>
      <c r="C36" s="419">
        <f>+C37+C38+C39</f>
        <v>0</v>
      </c>
      <c r="D36" s="581">
        <f>+D37+D38+D39</f>
        <v>0</v>
      </c>
      <c r="E36" s="558">
        <f>+E37+E38+E39</f>
        <v>0</v>
      </c>
    </row>
    <row r="37" spans="1:5" s="541" customFormat="1" ht="15" customHeight="1">
      <c r="A37" s="565" t="s">
        <v>561</v>
      </c>
      <c r="B37" s="566" t="s">
        <v>165</v>
      </c>
      <c r="C37" s="103"/>
      <c r="D37" s="572"/>
      <c r="E37" s="545"/>
    </row>
    <row r="38" spans="1:5" s="541" customFormat="1" ht="15" customHeight="1">
      <c r="A38" s="565" t="s">
        <v>562</v>
      </c>
      <c r="B38" s="567" t="s">
        <v>3</v>
      </c>
      <c r="C38" s="420"/>
      <c r="D38" s="586"/>
      <c r="E38" s="544"/>
    </row>
    <row r="39" spans="1:5" ht="13.5" thickBot="1">
      <c r="A39" s="564" t="s">
        <v>563</v>
      </c>
      <c r="B39" s="550" t="s">
        <v>564</v>
      </c>
      <c r="C39" s="548"/>
      <c r="D39" s="587"/>
      <c r="E39" s="543"/>
    </row>
    <row r="40" spans="1:5" s="540" customFormat="1" ht="16.5" customHeight="1" thickBot="1">
      <c r="A40" s="553" t="s">
        <v>16</v>
      </c>
      <c r="B40" s="554" t="s">
        <v>565</v>
      </c>
      <c r="C40" s="109">
        <f>+C35+C36</f>
        <v>900000</v>
      </c>
      <c r="D40" s="588">
        <f>+D35+D36</f>
        <v>1125000</v>
      </c>
      <c r="E40" s="559">
        <f>+E35+E36</f>
        <v>1310200</v>
      </c>
    </row>
    <row r="41" spans="1:5" s="315" customFormat="1" ht="12" customHeight="1">
      <c r="A41" s="496"/>
      <c r="B41" s="497"/>
      <c r="C41" s="512"/>
      <c r="D41" s="512"/>
      <c r="E41" s="512"/>
    </row>
    <row r="42" spans="1:5" ht="12" customHeight="1" thickBot="1">
      <c r="A42" s="498"/>
      <c r="B42" s="499"/>
      <c r="C42" s="513"/>
      <c r="D42" s="513"/>
      <c r="E42" s="513"/>
    </row>
    <row r="43" spans="1:5" ht="12" customHeight="1" thickBot="1">
      <c r="A43" s="863" t="s">
        <v>43</v>
      </c>
      <c r="B43" s="864"/>
      <c r="C43" s="864"/>
      <c r="D43" s="864"/>
      <c r="E43" s="865"/>
    </row>
    <row r="44" spans="1:5" ht="12" customHeight="1" thickBot="1">
      <c r="A44" s="551" t="s">
        <v>7</v>
      </c>
      <c r="B44" s="360" t="s">
        <v>566</v>
      </c>
      <c r="C44" s="419">
        <f>SUM(C45:C49)</f>
        <v>900000</v>
      </c>
      <c r="D44" s="419">
        <f>SUM(D45:D49)</f>
        <v>1125000</v>
      </c>
      <c r="E44" s="558">
        <f>SUM(E45:E49)</f>
        <v>506772</v>
      </c>
    </row>
    <row r="45" spans="1:5" ht="12" customHeight="1">
      <c r="A45" s="564" t="s">
        <v>71</v>
      </c>
      <c r="B45" s="341" t="s">
        <v>37</v>
      </c>
      <c r="C45" s="103"/>
      <c r="D45" s="103"/>
      <c r="E45" s="545"/>
    </row>
    <row r="46" spans="1:5" ht="12" customHeight="1">
      <c r="A46" s="564" t="s">
        <v>72</v>
      </c>
      <c r="B46" s="340" t="s">
        <v>133</v>
      </c>
      <c r="C46" s="413"/>
      <c r="D46" s="413"/>
      <c r="E46" s="569"/>
    </row>
    <row r="47" spans="1:5" ht="12" customHeight="1">
      <c r="A47" s="564" t="s">
        <v>73</v>
      </c>
      <c r="B47" s="340" t="s">
        <v>100</v>
      </c>
      <c r="C47" s="413">
        <v>900000</v>
      </c>
      <c r="D47" s="413">
        <v>1125000</v>
      </c>
      <c r="E47" s="569">
        <v>506772</v>
      </c>
    </row>
    <row r="48" spans="1:5" s="315" customFormat="1" ht="12" customHeight="1">
      <c r="A48" s="564" t="s">
        <v>74</v>
      </c>
      <c r="B48" s="340" t="s">
        <v>134</v>
      </c>
      <c r="C48" s="413"/>
      <c r="D48" s="413"/>
      <c r="E48" s="569"/>
    </row>
    <row r="49" spans="1:5" ht="12" customHeight="1" thickBot="1">
      <c r="A49" s="564" t="s">
        <v>107</v>
      </c>
      <c r="B49" s="340" t="s">
        <v>135</v>
      </c>
      <c r="C49" s="413"/>
      <c r="D49" s="413"/>
      <c r="E49" s="569"/>
    </row>
    <row r="50" spans="1:5" ht="12" customHeight="1" thickBot="1">
      <c r="A50" s="551" t="s">
        <v>8</v>
      </c>
      <c r="B50" s="360" t="s">
        <v>567</v>
      </c>
      <c r="C50" s="419">
        <f>SUM(C51:C53)</f>
        <v>0</v>
      </c>
      <c r="D50" s="419">
        <f>SUM(D51:D53)</f>
        <v>0</v>
      </c>
      <c r="E50" s="558">
        <f>SUM(E51:E53)</f>
        <v>0</v>
      </c>
    </row>
    <row r="51" spans="1:5" ht="12" customHeight="1">
      <c r="A51" s="564" t="s">
        <v>77</v>
      </c>
      <c r="B51" s="341" t="s">
        <v>155</v>
      </c>
      <c r="C51" s="103"/>
      <c r="D51" s="103"/>
      <c r="E51" s="545"/>
    </row>
    <row r="52" spans="1:5" ht="12" customHeight="1">
      <c r="A52" s="564" t="s">
        <v>78</v>
      </c>
      <c r="B52" s="340" t="s">
        <v>137</v>
      </c>
      <c r="C52" s="413"/>
      <c r="D52" s="413"/>
      <c r="E52" s="569"/>
    </row>
    <row r="53" spans="1:5" ht="15" customHeight="1">
      <c r="A53" s="564" t="s">
        <v>79</v>
      </c>
      <c r="B53" s="340" t="s">
        <v>44</v>
      </c>
      <c r="C53" s="413"/>
      <c r="D53" s="413"/>
      <c r="E53" s="569"/>
    </row>
    <row r="54" spans="1:5" ht="13.5" thickBot="1">
      <c r="A54" s="564" t="s">
        <v>80</v>
      </c>
      <c r="B54" s="340" t="s">
        <v>673</v>
      </c>
      <c r="C54" s="413"/>
      <c r="D54" s="413"/>
      <c r="E54" s="569"/>
    </row>
    <row r="55" spans="1:5" ht="15" customHeight="1" thickBot="1">
      <c r="A55" s="551" t="s">
        <v>9</v>
      </c>
      <c r="B55" s="555" t="s">
        <v>568</v>
      </c>
      <c r="C55" s="109">
        <f>+C44+C50</f>
        <v>900000</v>
      </c>
      <c r="D55" s="109">
        <f>+D44+D50</f>
        <v>1125000</v>
      </c>
      <c r="E55" s="559">
        <f>+E44+E50</f>
        <v>506772</v>
      </c>
    </row>
    <row r="56" spans="1:5" ht="13.5" thickBot="1">
      <c r="C56" s="560"/>
      <c r="D56" s="560"/>
      <c r="E56" s="560"/>
    </row>
    <row r="57" spans="1:5" ht="13.5" thickBot="1">
      <c r="A57" s="647" t="s">
        <v>729</v>
      </c>
      <c r="B57" s="648"/>
      <c r="C57" s="113"/>
      <c r="D57" s="113"/>
      <c r="E57" s="549"/>
    </row>
    <row r="58" spans="1:5" ht="13.5" thickBot="1">
      <c r="A58" s="649" t="s">
        <v>728</v>
      </c>
      <c r="B58" s="650"/>
      <c r="C58" s="113"/>
      <c r="D58" s="113"/>
      <c r="E58" s="549"/>
    </row>
  </sheetData>
  <sheetProtection formatCells="0"/>
  <mergeCells count="4">
    <mergeCell ref="B2:D2"/>
    <mergeCell ref="B3:D3"/>
    <mergeCell ref="A7:E7"/>
    <mergeCell ref="A43:E43"/>
  </mergeCells>
  <phoneticPr fontId="27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92D050"/>
  </sheetPr>
  <dimension ref="A1:E58"/>
  <sheetViews>
    <sheetView zoomScaleNormal="100" zoomScaleSheetLayoutView="145" workbookViewId="0">
      <selection activeCell="E2" sqref="E2"/>
    </sheetView>
  </sheetViews>
  <sheetFormatPr defaultRowHeight="12.75"/>
  <cols>
    <col min="1" max="1" width="18.6640625" style="556" customWidth="1"/>
    <col min="2" max="2" width="62" style="32" customWidth="1"/>
    <col min="3" max="5" width="15.83203125" style="32" customWidth="1"/>
    <col min="6" max="16384" width="9.33203125" style="32"/>
  </cols>
  <sheetData>
    <row r="1" spans="1:5" s="491" customFormat="1" ht="21" customHeight="1" thickBot="1">
      <c r="A1" s="490"/>
      <c r="B1" s="492"/>
      <c r="C1" s="537"/>
      <c r="D1" s="537"/>
      <c r="E1" s="630" t="str">
        <f>+CONCATENATE("8.2.3. melléklet a 15/",LEFT(ÖSSZEFÜGGÉSEK!A4,4)+1,". (V. 30.) önkormányzati rendelethez")</f>
        <v>8.2.3. melléklet a 15/2017. (V. 30.) önkormányzati rendelethez</v>
      </c>
    </row>
    <row r="2" spans="1:5" s="538" customFormat="1" ht="25.5" customHeight="1">
      <c r="A2" s="518" t="s">
        <v>147</v>
      </c>
      <c r="B2" s="866" t="s">
        <v>734</v>
      </c>
      <c r="C2" s="867"/>
      <c r="D2" s="868"/>
      <c r="E2" s="561" t="s">
        <v>49</v>
      </c>
    </row>
    <row r="3" spans="1:5" s="538" customFormat="1" ht="24.75" thickBot="1">
      <c r="A3" s="536" t="s">
        <v>146</v>
      </c>
      <c r="B3" s="869" t="s">
        <v>665</v>
      </c>
      <c r="C3" s="872"/>
      <c r="D3" s="873"/>
      <c r="E3" s="562" t="s">
        <v>49</v>
      </c>
    </row>
    <row r="4" spans="1:5" s="539" customFormat="1" ht="15.95" customHeight="1" thickBot="1">
      <c r="A4" s="493"/>
      <c r="B4" s="493"/>
      <c r="C4" s="494"/>
      <c r="D4" s="494"/>
      <c r="E4" s="494" t="s">
        <v>769</v>
      </c>
    </row>
    <row r="5" spans="1:5" ht="24.75" thickBot="1">
      <c r="A5" s="325" t="s">
        <v>148</v>
      </c>
      <c r="B5" s="326" t="s">
        <v>727</v>
      </c>
      <c r="C5" s="97" t="s">
        <v>178</v>
      </c>
      <c r="D5" s="97" t="s">
        <v>183</v>
      </c>
      <c r="E5" s="495" t="s">
        <v>184</v>
      </c>
    </row>
    <row r="6" spans="1:5" s="540" customFormat="1" ht="12.95" customHeight="1" thickBot="1">
      <c r="A6" s="488" t="s">
        <v>409</v>
      </c>
      <c r="B6" s="489" t="s">
        <v>410</v>
      </c>
      <c r="C6" s="489" t="s">
        <v>411</v>
      </c>
      <c r="D6" s="112" t="s">
        <v>412</v>
      </c>
      <c r="E6" s="110" t="s">
        <v>413</v>
      </c>
    </row>
    <row r="7" spans="1:5" s="540" customFormat="1" ht="15.95" customHeight="1" thickBot="1">
      <c r="A7" s="863" t="s">
        <v>42</v>
      </c>
      <c r="B7" s="864"/>
      <c r="C7" s="864"/>
      <c r="D7" s="864"/>
      <c r="E7" s="865"/>
    </row>
    <row r="8" spans="1:5" s="514" customFormat="1" ht="12" customHeight="1" thickBot="1">
      <c r="A8" s="488" t="s">
        <v>7</v>
      </c>
      <c r="B8" s="552" t="s">
        <v>549</v>
      </c>
      <c r="C8" s="419">
        <f>SUM(C9:C18)</f>
        <v>0</v>
      </c>
      <c r="D8" s="581">
        <f>SUM(D9:D18)</f>
        <v>0</v>
      </c>
      <c r="E8" s="558">
        <f>SUM(E9:E18)</f>
        <v>0</v>
      </c>
    </row>
    <row r="9" spans="1:5" s="514" customFormat="1" ht="12" customHeight="1">
      <c r="A9" s="563" t="s">
        <v>71</v>
      </c>
      <c r="B9" s="342" t="s">
        <v>328</v>
      </c>
      <c r="C9" s="106"/>
      <c r="D9" s="582"/>
      <c r="E9" s="547"/>
    </row>
    <row r="10" spans="1:5" s="514" customFormat="1" ht="12" customHeight="1">
      <c r="A10" s="564" t="s">
        <v>72</v>
      </c>
      <c r="B10" s="340" t="s">
        <v>329</v>
      </c>
      <c r="C10" s="416"/>
      <c r="D10" s="583"/>
      <c r="E10" s="115"/>
    </row>
    <row r="11" spans="1:5" s="514" customFormat="1" ht="12" customHeight="1">
      <c r="A11" s="564" t="s">
        <v>73</v>
      </c>
      <c r="B11" s="340" t="s">
        <v>330</v>
      </c>
      <c r="C11" s="416"/>
      <c r="D11" s="583"/>
      <c r="E11" s="115"/>
    </row>
    <row r="12" spans="1:5" s="514" customFormat="1" ht="12" customHeight="1">
      <c r="A12" s="564" t="s">
        <v>74</v>
      </c>
      <c r="B12" s="340" t="s">
        <v>331</v>
      </c>
      <c r="C12" s="416"/>
      <c r="D12" s="583"/>
      <c r="E12" s="115"/>
    </row>
    <row r="13" spans="1:5" s="514" customFormat="1" ht="12" customHeight="1">
      <c r="A13" s="564" t="s">
        <v>107</v>
      </c>
      <c r="B13" s="340" t="s">
        <v>332</v>
      </c>
      <c r="C13" s="416"/>
      <c r="D13" s="583"/>
      <c r="E13" s="115"/>
    </row>
    <row r="14" spans="1:5" s="514" customFormat="1" ht="12" customHeight="1">
      <c r="A14" s="564" t="s">
        <v>75</v>
      </c>
      <c r="B14" s="340" t="s">
        <v>550</v>
      </c>
      <c r="C14" s="416"/>
      <c r="D14" s="583"/>
      <c r="E14" s="115"/>
    </row>
    <row r="15" spans="1:5" s="541" customFormat="1" ht="12" customHeight="1">
      <c r="A15" s="564" t="s">
        <v>76</v>
      </c>
      <c r="B15" s="339" t="s">
        <v>551</v>
      </c>
      <c r="C15" s="416"/>
      <c r="D15" s="583"/>
      <c r="E15" s="115"/>
    </row>
    <row r="16" spans="1:5" s="541" customFormat="1" ht="12" customHeight="1">
      <c r="A16" s="564" t="s">
        <v>84</v>
      </c>
      <c r="B16" s="340" t="s">
        <v>335</v>
      </c>
      <c r="C16" s="107"/>
      <c r="D16" s="584"/>
      <c r="E16" s="546"/>
    </row>
    <row r="17" spans="1:5" s="514" customFormat="1" ht="12" customHeight="1">
      <c r="A17" s="564" t="s">
        <v>85</v>
      </c>
      <c r="B17" s="340" t="s">
        <v>337</v>
      </c>
      <c r="C17" s="416"/>
      <c r="D17" s="583"/>
      <c r="E17" s="115"/>
    </row>
    <row r="18" spans="1:5" s="541" customFormat="1" ht="12" customHeight="1" thickBot="1">
      <c r="A18" s="564" t="s">
        <v>86</v>
      </c>
      <c r="B18" s="339" t="s">
        <v>339</v>
      </c>
      <c r="C18" s="418"/>
      <c r="D18" s="116"/>
      <c r="E18" s="542"/>
    </row>
    <row r="19" spans="1:5" s="541" customFormat="1" ht="12" customHeight="1" thickBot="1">
      <c r="A19" s="488" t="s">
        <v>8</v>
      </c>
      <c r="B19" s="552" t="s">
        <v>552</v>
      </c>
      <c r="C19" s="419">
        <f>SUM(C20:C22)</f>
        <v>0</v>
      </c>
      <c r="D19" s="581">
        <f>SUM(D20:D22)</f>
        <v>0</v>
      </c>
      <c r="E19" s="558">
        <f>SUM(E20:E22)</f>
        <v>0</v>
      </c>
    </row>
    <row r="20" spans="1:5" s="541" customFormat="1" ht="12" customHeight="1">
      <c r="A20" s="564" t="s">
        <v>77</v>
      </c>
      <c r="B20" s="341" t="s">
        <v>309</v>
      </c>
      <c r="C20" s="416"/>
      <c r="D20" s="583"/>
      <c r="E20" s="115"/>
    </row>
    <row r="21" spans="1:5" s="541" customFormat="1" ht="12" customHeight="1">
      <c r="A21" s="564" t="s">
        <v>78</v>
      </c>
      <c r="B21" s="340" t="s">
        <v>553</v>
      </c>
      <c r="C21" s="416"/>
      <c r="D21" s="583"/>
      <c r="E21" s="115"/>
    </row>
    <row r="22" spans="1:5" s="541" customFormat="1" ht="12" customHeight="1">
      <c r="A22" s="564" t="s">
        <v>79</v>
      </c>
      <c r="B22" s="340" t="s">
        <v>554</v>
      </c>
      <c r="C22" s="416"/>
      <c r="D22" s="583"/>
      <c r="E22" s="115"/>
    </row>
    <row r="23" spans="1:5" s="514" customFormat="1" ht="12" customHeight="1" thickBot="1">
      <c r="A23" s="564" t="s">
        <v>80</v>
      </c>
      <c r="B23" s="340" t="s">
        <v>671</v>
      </c>
      <c r="C23" s="416"/>
      <c r="D23" s="583"/>
      <c r="E23" s="115"/>
    </row>
    <row r="24" spans="1:5" s="514" customFormat="1" ht="12" customHeight="1" thickBot="1">
      <c r="A24" s="551" t="s">
        <v>9</v>
      </c>
      <c r="B24" s="360" t="s">
        <v>124</v>
      </c>
      <c r="C24" s="41"/>
      <c r="D24" s="585"/>
      <c r="E24" s="557"/>
    </row>
    <row r="25" spans="1:5" s="514" customFormat="1" ht="12" customHeight="1" thickBot="1">
      <c r="A25" s="551" t="s">
        <v>10</v>
      </c>
      <c r="B25" s="360" t="s">
        <v>555</v>
      </c>
      <c r="C25" s="419">
        <f>+C26+C27</f>
        <v>0</v>
      </c>
      <c r="D25" s="581">
        <f>+D26+D27</f>
        <v>0</v>
      </c>
      <c r="E25" s="558">
        <f>+E26+E27</f>
        <v>0</v>
      </c>
    </row>
    <row r="26" spans="1:5" s="514" customFormat="1" ht="12" customHeight="1">
      <c r="A26" s="565" t="s">
        <v>322</v>
      </c>
      <c r="B26" s="566" t="s">
        <v>553</v>
      </c>
      <c r="C26" s="103"/>
      <c r="D26" s="572"/>
      <c r="E26" s="545"/>
    </row>
    <row r="27" spans="1:5" s="514" customFormat="1" ht="12" customHeight="1">
      <c r="A27" s="565" t="s">
        <v>323</v>
      </c>
      <c r="B27" s="567" t="s">
        <v>556</v>
      </c>
      <c r="C27" s="420"/>
      <c r="D27" s="586"/>
      <c r="E27" s="544"/>
    </row>
    <row r="28" spans="1:5" s="514" customFormat="1" ht="12" customHeight="1" thickBot="1">
      <c r="A28" s="564" t="s">
        <v>324</v>
      </c>
      <c r="B28" s="568" t="s">
        <v>672</v>
      </c>
      <c r="C28" s="548"/>
      <c r="D28" s="587"/>
      <c r="E28" s="543"/>
    </row>
    <row r="29" spans="1:5" s="514" customFormat="1" ht="12" customHeight="1" thickBot="1">
      <c r="A29" s="551" t="s">
        <v>11</v>
      </c>
      <c r="B29" s="360" t="s">
        <v>557</v>
      </c>
      <c r="C29" s="419">
        <f>+C30+C31+C32</f>
        <v>0</v>
      </c>
      <c r="D29" s="581">
        <f>+D30+D31+D32</f>
        <v>0</v>
      </c>
      <c r="E29" s="558">
        <f>+E30+E31+E32</f>
        <v>0</v>
      </c>
    </row>
    <row r="30" spans="1:5" s="514" customFormat="1" ht="12" customHeight="1">
      <c r="A30" s="565" t="s">
        <v>64</v>
      </c>
      <c r="B30" s="566" t="s">
        <v>341</v>
      </c>
      <c r="C30" s="103"/>
      <c r="D30" s="572"/>
      <c r="E30" s="545"/>
    </row>
    <row r="31" spans="1:5" s="514" customFormat="1" ht="12" customHeight="1">
      <c r="A31" s="565" t="s">
        <v>65</v>
      </c>
      <c r="B31" s="567" t="s">
        <v>342</v>
      </c>
      <c r="C31" s="420"/>
      <c r="D31" s="586"/>
      <c r="E31" s="544"/>
    </row>
    <row r="32" spans="1:5" s="514" customFormat="1" ht="12" customHeight="1" thickBot="1">
      <c r="A32" s="564" t="s">
        <v>66</v>
      </c>
      <c r="B32" s="550" t="s">
        <v>344</v>
      </c>
      <c r="C32" s="548"/>
      <c r="D32" s="587"/>
      <c r="E32" s="543"/>
    </row>
    <row r="33" spans="1:5" s="514" customFormat="1" ht="12" customHeight="1" thickBot="1">
      <c r="A33" s="551" t="s">
        <v>12</v>
      </c>
      <c r="B33" s="360" t="s">
        <v>469</v>
      </c>
      <c r="C33" s="41"/>
      <c r="D33" s="585"/>
      <c r="E33" s="557"/>
    </row>
    <row r="34" spans="1:5" s="514" customFormat="1" ht="12" customHeight="1" thickBot="1">
      <c r="A34" s="551" t="s">
        <v>13</v>
      </c>
      <c r="B34" s="360" t="s">
        <v>558</v>
      </c>
      <c r="C34" s="41"/>
      <c r="D34" s="585"/>
      <c r="E34" s="557"/>
    </row>
    <row r="35" spans="1:5" s="514" customFormat="1" ht="12" customHeight="1" thickBot="1">
      <c r="A35" s="488" t="s">
        <v>14</v>
      </c>
      <c r="B35" s="360" t="s">
        <v>559</v>
      </c>
      <c r="C35" s="419">
        <f>+C8+C19+C24+C25+C29+C33+C34</f>
        <v>0</v>
      </c>
      <c r="D35" s="581">
        <f>+D8+D19+D24+D25+D29+D33+D34</f>
        <v>0</v>
      </c>
      <c r="E35" s="558">
        <f>+E8+E19+E24+E25+E29+E33+E34</f>
        <v>0</v>
      </c>
    </row>
    <row r="36" spans="1:5" s="541" customFormat="1" ht="12" customHeight="1" thickBot="1">
      <c r="A36" s="553" t="s">
        <v>15</v>
      </c>
      <c r="B36" s="360" t="s">
        <v>560</v>
      </c>
      <c r="C36" s="419">
        <f>+C37+C38+C39</f>
        <v>0</v>
      </c>
      <c r="D36" s="581">
        <f>+D37+D38+D39</f>
        <v>0</v>
      </c>
      <c r="E36" s="558">
        <f>+E37+E38+E39</f>
        <v>0</v>
      </c>
    </row>
    <row r="37" spans="1:5" s="541" customFormat="1" ht="15" customHeight="1">
      <c r="A37" s="565" t="s">
        <v>561</v>
      </c>
      <c r="B37" s="566" t="s">
        <v>165</v>
      </c>
      <c r="C37" s="103"/>
      <c r="D37" s="572"/>
      <c r="E37" s="545"/>
    </row>
    <row r="38" spans="1:5" s="541" customFormat="1" ht="15" customHeight="1">
      <c r="A38" s="565" t="s">
        <v>562</v>
      </c>
      <c r="B38" s="567" t="s">
        <v>3</v>
      </c>
      <c r="C38" s="420"/>
      <c r="D38" s="586"/>
      <c r="E38" s="544"/>
    </row>
    <row r="39" spans="1:5" ht="13.5" thickBot="1">
      <c r="A39" s="564" t="s">
        <v>563</v>
      </c>
      <c r="B39" s="550" t="s">
        <v>564</v>
      </c>
      <c r="C39" s="548"/>
      <c r="D39" s="587"/>
      <c r="E39" s="543"/>
    </row>
    <row r="40" spans="1:5" s="540" customFormat="1" ht="16.5" customHeight="1" thickBot="1">
      <c r="A40" s="553" t="s">
        <v>16</v>
      </c>
      <c r="B40" s="554" t="s">
        <v>565</v>
      </c>
      <c r="C40" s="109">
        <f>+C35+C36</f>
        <v>0</v>
      </c>
      <c r="D40" s="588">
        <f>+D35+D36</f>
        <v>0</v>
      </c>
      <c r="E40" s="559">
        <f>+E35+E36</f>
        <v>0</v>
      </c>
    </row>
    <row r="41" spans="1:5" s="315" customFormat="1" ht="12" customHeight="1">
      <c r="A41" s="496"/>
      <c r="B41" s="497"/>
      <c r="C41" s="512"/>
      <c r="D41" s="512"/>
      <c r="E41" s="512"/>
    </row>
    <row r="42" spans="1:5" ht="12" customHeight="1" thickBot="1">
      <c r="A42" s="498"/>
      <c r="B42" s="499"/>
      <c r="C42" s="513"/>
      <c r="D42" s="513"/>
      <c r="E42" s="513"/>
    </row>
    <row r="43" spans="1:5" ht="12" customHeight="1" thickBot="1">
      <c r="A43" s="863" t="s">
        <v>43</v>
      </c>
      <c r="B43" s="864"/>
      <c r="C43" s="864"/>
      <c r="D43" s="864"/>
      <c r="E43" s="865"/>
    </row>
    <row r="44" spans="1:5" ht="12" customHeight="1" thickBot="1">
      <c r="A44" s="551" t="s">
        <v>7</v>
      </c>
      <c r="B44" s="360" t="s">
        <v>566</v>
      </c>
      <c r="C44" s="419">
        <f>SUM(C45:C49)</f>
        <v>0</v>
      </c>
      <c r="D44" s="419">
        <f>SUM(D45:D49)</f>
        <v>0</v>
      </c>
      <c r="E44" s="558">
        <f>SUM(E45:E49)</f>
        <v>0</v>
      </c>
    </row>
    <row r="45" spans="1:5" ht="12" customHeight="1">
      <c r="A45" s="564" t="s">
        <v>71</v>
      </c>
      <c r="B45" s="341" t="s">
        <v>37</v>
      </c>
      <c r="C45" s="103"/>
      <c r="D45" s="103"/>
      <c r="E45" s="545"/>
    </row>
    <row r="46" spans="1:5" ht="12" customHeight="1">
      <c r="A46" s="564" t="s">
        <v>72</v>
      </c>
      <c r="B46" s="340" t="s">
        <v>133</v>
      </c>
      <c r="C46" s="413"/>
      <c r="D46" s="413"/>
      <c r="E46" s="569"/>
    </row>
    <row r="47" spans="1:5" ht="12" customHeight="1">
      <c r="A47" s="564" t="s">
        <v>73</v>
      </c>
      <c r="B47" s="340" t="s">
        <v>100</v>
      </c>
      <c r="C47" s="413"/>
      <c r="D47" s="413"/>
      <c r="E47" s="569"/>
    </row>
    <row r="48" spans="1:5" s="315" customFormat="1" ht="12" customHeight="1">
      <c r="A48" s="564" t="s">
        <v>74</v>
      </c>
      <c r="B48" s="340" t="s">
        <v>134</v>
      </c>
      <c r="C48" s="413"/>
      <c r="D48" s="413"/>
      <c r="E48" s="569"/>
    </row>
    <row r="49" spans="1:5" ht="12" customHeight="1" thickBot="1">
      <c r="A49" s="564" t="s">
        <v>107</v>
      </c>
      <c r="B49" s="340" t="s">
        <v>135</v>
      </c>
      <c r="C49" s="413"/>
      <c r="D49" s="413"/>
      <c r="E49" s="569"/>
    </row>
    <row r="50" spans="1:5" ht="12" customHeight="1" thickBot="1">
      <c r="A50" s="551" t="s">
        <v>8</v>
      </c>
      <c r="B50" s="360" t="s">
        <v>567</v>
      </c>
      <c r="C50" s="419">
        <f>SUM(C51:C53)</f>
        <v>0</v>
      </c>
      <c r="D50" s="419">
        <f>SUM(D51:D53)</f>
        <v>0</v>
      </c>
      <c r="E50" s="558">
        <f>SUM(E51:E53)</f>
        <v>0</v>
      </c>
    </row>
    <row r="51" spans="1:5" ht="12" customHeight="1">
      <c r="A51" s="564" t="s">
        <v>77</v>
      </c>
      <c r="B51" s="341" t="s">
        <v>155</v>
      </c>
      <c r="C51" s="103"/>
      <c r="D51" s="103"/>
      <c r="E51" s="545"/>
    </row>
    <row r="52" spans="1:5" ht="12" customHeight="1">
      <c r="A52" s="564" t="s">
        <v>78</v>
      </c>
      <c r="B52" s="340" t="s">
        <v>137</v>
      </c>
      <c r="C52" s="413"/>
      <c r="D52" s="413"/>
      <c r="E52" s="569"/>
    </row>
    <row r="53" spans="1:5" ht="15" customHeight="1">
      <c r="A53" s="564" t="s">
        <v>79</v>
      </c>
      <c r="B53" s="340" t="s">
        <v>44</v>
      </c>
      <c r="C53" s="413"/>
      <c r="D53" s="413"/>
      <c r="E53" s="569"/>
    </row>
    <row r="54" spans="1:5" ht="13.5" thickBot="1">
      <c r="A54" s="564" t="s">
        <v>80</v>
      </c>
      <c r="B54" s="340" t="s">
        <v>673</v>
      </c>
      <c r="C54" s="413"/>
      <c r="D54" s="413"/>
      <c r="E54" s="569"/>
    </row>
    <row r="55" spans="1:5" ht="15" customHeight="1" thickBot="1">
      <c r="A55" s="551" t="s">
        <v>9</v>
      </c>
      <c r="B55" s="555" t="s">
        <v>568</v>
      </c>
      <c r="C55" s="109">
        <f>+C44+C50</f>
        <v>0</v>
      </c>
      <c r="D55" s="109">
        <f>+D44+D50</f>
        <v>0</v>
      </c>
      <c r="E55" s="559">
        <f>+E44+E50</f>
        <v>0</v>
      </c>
    </row>
    <row r="56" spans="1:5" ht="13.5" thickBot="1">
      <c r="C56" s="560"/>
      <c r="D56" s="560"/>
      <c r="E56" s="560"/>
    </row>
    <row r="57" spans="1:5" ht="13.5" thickBot="1">
      <c r="A57" s="647" t="s">
        <v>729</v>
      </c>
      <c r="B57" s="648"/>
      <c r="C57" s="113"/>
      <c r="D57" s="113"/>
      <c r="E57" s="549"/>
    </row>
    <row r="58" spans="1:5" ht="13.5" thickBot="1">
      <c r="A58" s="649" t="s">
        <v>728</v>
      </c>
      <c r="B58" s="650"/>
      <c r="C58" s="113"/>
      <c r="D58" s="113"/>
      <c r="E58" s="549"/>
    </row>
  </sheetData>
  <sheetProtection formatCells="0"/>
  <mergeCells count="4">
    <mergeCell ref="B2:D2"/>
    <mergeCell ref="B3:D3"/>
    <mergeCell ref="A7:E7"/>
    <mergeCell ref="A43:E43"/>
  </mergeCells>
  <phoneticPr fontId="27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92D050"/>
  </sheetPr>
  <dimension ref="A1:E58"/>
  <sheetViews>
    <sheetView zoomScaleNormal="100" zoomScaleSheetLayoutView="145" workbookViewId="0">
      <selection activeCell="E2" sqref="E2"/>
    </sheetView>
  </sheetViews>
  <sheetFormatPr defaultRowHeight="12.75"/>
  <cols>
    <col min="1" max="1" width="18.6640625" style="556" customWidth="1"/>
    <col min="2" max="2" width="62" style="32" customWidth="1"/>
    <col min="3" max="5" width="15.83203125" style="32" customWidth="1"/>
    <col min="6" max="16384" width="9.33203125" style="32"/>
  </cols>
  <sheetData>
    <row r="1" spans="1:5" s="491" customFormat="1" ht="21" customHeight="1" thickBot="1">
      <c r="A1" s="490"/>
      <c r="B1" s="492"/>
      <c r="C1" s="537"/>
      <c r="D1" s="537"/>
      <c r="E1" s="630" t="str">
        <f>+CONCATENATE("8.3. melléklet a 15/",LEFT(ÖSSZEFÜGGÉSEK!A4,4)+1,". (V. 30.) önkormányzati rendelethez")</f>
        <v>8.3. melléklet a 15/2017. (V. 30.) önkormányzati rendelethez</v>
      </c>
    </row>
    <row r="2" spans="1:5" s="538" customFormat="1" ht="25.5" customHeight="1">
      <c r="A2" s="518" t="s">
        <v>147</v>
      </c>
      <c r="B2" s="866" t="s">
        <v>735</v>
      </c>
      <c r="C2" s="867"/>
      <c r="D2" s="868"/>
      <c r="E2" s="561" t="s">
        <v>50</v>
      </c>
    </row>
    <row r="3" spans="1:5" s="538" customFormat="1" ht="24.75" thickBot="1">
      <c r="A3" s="536" t="s">
        <v>146</v>
      </c>
      <c r="B3" s="869" t="s">
        <v>541</v>
      </c>
      <c r="C3" s="872"/>
      <c r="D3" s="873"/>
      <c r="E3" s="562" t="s">
        <v>41</v>
      </c>
    </row>
    <row r="4" spans="1:5" s="539" customFormat="1" ht="15.95" customHeight="1" thickBot="1">
      <c r="A4" s="493"/>
      <c r="B4" s="493"/>
      <c r="C4" s="494"/>
      <c r="D4" s="494"/>
      <c r="E4" s="494" t="s">
        <v>769</v>
      </c>
    </row>
    <row r="5" spans="1:5" ht="24.75" thickBot="1">
      <c r="A5" s="325" t="s">
        <v>148</v>
      </c>
      <c r="B5" s="326" t="s">
        <v>727</v>
      </c>
      <c r="C5" s="97" t="s">
        <v>178</v>
      </c>
      <c r="D5" s="97" t="s">
        <v>183</v>
      </c>
      <c r="E5" s="495" t="s">
        <v>184</v>
      </c>
    </row>
    <row r="6" spans="1:5" s="540" customFormat="1" ht="12.95" customHeight="1" thickBot="1">
      <c r="A6" s="488" t="s">
        <v>409</v>
      </c>
      <c r="B6" s="489" t="s">
        <v>410</v>
      </c>
      <c r="C6" s="489" t="s">
        <v>411</v>
      </c>
      <c r="D6" s="112" t="s">
        <v>412</v>
      </c>
      <c r="E6" s="110" t="s">
        <v>413</v>
      </c>
    </row>
    <row r="7" spans="1:5" s="540" customFormat="1" ht="15.95" customHeight="1" thickBot="1">
      <c r="A7" s="863" t="s">
        <v>42</v>
      </c>
      <c r="B7" s="864"/>
      <c r="C7" s="864"/>
      <c r="D7" s="864"/>
      <c r="E7" s="865"/>
    </row>
    <row r="8" spans="1:5" s="514" customFormat="1" ht="12" customHeight="1" thickBot="1">
      <c r="A8" s="488" t="s">
        <v>7</v>
      </c>
      <c r="B8" s="552" t="s">
        <v>549</v>
      </c>
      <c r="C8" s="419">
        <f>SUM(C9:C18)</f>
        <v>0</v>
      </c>
      <c r="D8" s="581">
        <f>SUM(D9:D18)</f>
        <v>50</v>
      </c>
      <c r="E8" s="558">
        <f>+'8.3.1. sz. mell.'!E8+'8.3.2. sz. mell. '!E8+'8.3.3. sz. mell.'!E8</f>
        <v>1730344</v>
      </c>
    </row>
    <row r="9" spans="1:5" s="514" customFormat="1" ht="12" customHeight="1">
      <c r="A9" s="563" t="s">
        <v>71</v>
      </c>
      <c r="B9" s="342" t="s">
        <v>328</v>
      </c>
      <c r="C9" s="106"/>
      <c r="D9" s="582"/>
      <c r="E9" s="664">
        <f>+'8.3.1. sz. mell.'!E9+'8.3.2. sz. mell. '!E9+'8.3.3. sz. mell.'!E9</f>
        <v>0</v>
      </c>
    </row>
    <row r="10" spans="1:5" s="514" customFormat="1" ht="12" customHeight="1">
      <c r="A10" s="564" t="s">
        <v>72</v>
      </c>
      <c r="B10" s="340" t="s">
        <v>329</v>
      </c>
      <c r="C10" s="416"/>
      <c r="D10" s="583"/>
      <c r="E10" s="666">
        <f>+'8.3.1. sz. mell.'!E10+'8.3.2. sz. mell. '!E10+'8.3.3. sz. mell.'!E10</f>
        <v>0</v>
      </c>
    </row>
    <row r="11" spans="1:5" s="514" customFormat="1" ht="12" customHeight="1">
      <c r="A11" s="564" t="s">
        <v>73</v>
      </c>
      <c r="B11" s="340" t="s">
        <v>330</v>
      </c>
      <c r="C11" s="416"/>
      <c r="D11" s="583"/>
      <c r="E11" s="666">
        <f>+'8.3.1. sz. mell.'!E11+'8.3.2. sz. mell. '!E11+'8.3.3. sz. mell.'!E11</f>
        <v>0</v>
      </c>
    </row>
    <row r="12" spans="1:5" s="514" customFormat="1" ht="12" customHeight="1">
      <c r="A12" s="564" t="s">
        <v>74</v>
      </c>
      <c r="B12" s="340" t="s">
        <v>331</v>
      </c>
      <c r="C12" s="416"/>
      <c r="D12" s="583"/>
      <c r="E12" s="667">
        <f>+'8.3.1. sz. mell.'!E12+'8.3.2. sz. mell. '!E12+'8.3.3. sz. mell.'!E12</f>
        <v>0</v>
      </c>
    </row>
    <row r="13" spans="1:5" s="514" customFormat="1" ht="12" customHeight="1">
      <c r="A13" s="564" t="s">
        <v>107</v>
      </c>
      <c r="B13" s="340" t="s">
        <v>332</v>
      </c>
      <c r="C13" s="416"/>
      <c r="D13" s="583"/>
      <c r="E13" s="666">
        <f>+'8.3.1. sz. mell.'!E13+'8.3.2. sz. mell. '!E13+'8.3.3. sz. mell.'!E13</f>
        <v>0</v>
      </c>
    </row>
    <row r="14" spans="1:5" s="514" customFormat="1" ht="12" customHeight="1">
      <c r="A14" s="564" t="s">
        <v>75</v>
      </c>
      <c r="B14" s="340" t="s">
        <v>550</v>
      </c>
      <c r="C14" s="416"/>
      <c r="D14" s="583"/>
      <c r="E14" s="666">
        <f>+'8.3.1. sz. mell.'!E14+'8.3.2. sz. mell. '!E14+'8.3.3. sz. mell.'!E14</f>
        <v>0</v>
      </c>
    </row>
    <row r="15" spans="1:5" s="541" customFormat="1" ht="12" customHeight="1">
      <c r="A15" s="564" t="s">
        <v>76</v>
      </c>
      <c r="B15" s="339" t="s">
        <v>551</v>
      </c>
      <c r="C15" s="416"/>
      <c r="D15" s="583"/>
      <c r="E15" s="667">
        <f>+'8.3.1. sz. mell.'!E15+'8.3.2. sz. mell. '!E15+'8.3.3. sz. mell.'!E15</f>
        <v>0</v>
      </c>
    </row>
    <row r="16" spans="1:5" s="541" customFormat="1" ht="12" customHeight="1">
      <c r="A16" s="564" t="s">
        <v>84</v>
      </c>
      <c r="B16" s="340" t="s">
        <v>335</v>
      </c>
      <c r="C16" s="107"/>
      <c r="D16" s="584"/>
      <c r="E16" s="666">
        <f>+'8.3.1. sz. mell.'!E16+'8.3.2. sz. mell. '!E16+'8.3.3. sz. mell.'!E16</f>
        <v>25</v>
      </c>
    </row>
    <row r="17" spans="1:5" s="514" customFormat="1" ht="12" customHeight="1">
      <c r="A17" s="564" t="s">
        <v>85</v>
      </c>
      <c r="B17" s="340" t="s">
        <v>337</v>
      </c>
      <c r="C17" s="416"/>
      <c r="D17" s="583"/>
      <c r="E17" s="666">
        <f>+'8.3.1. sz. mell.'!E17+'8.3.2. sz. mell. '!E17+'8.3.3. sz. mell.'!E17</f>
        <v>0</v>
      </c>
    </row>
    <row r="18" spans="1:5" s="541" customFormat="1" ht="12" customHeight="1" thickBot="1">
      <c r="A18" s="564" t="s">
        <v>86</v>
      </c>
      <c r="B18" s="339" t="s">
        <v>339</v>
      </c>
      <c r="C18" s="418"/>
      <c r="D18" s="116">
        <v>50</v>
      </c>
      <c r="E18" s="665">
        <f>+'8.3.1. sz. mell.'!E18+'8.3.2. sz. mell. '!E18+'8.3.3. sz. mell.'!E18</f>
        <v>1730319</v>
      </c>
    </row>
    <row r="19" spans="1:5" s="541" customFormat="1" ht="12" customHeight="1" thickBot="1">
      <c r="A19" s="488" t="s">
        <v>8</v>
      </c>
      <c r="B19" s="552" t="s">
        <v>552</v>
      </c>
      <c r="C19" s="419">
        <f>SUM(C20:C22)</f>
        <v>0</v>
      </c>
      <c r="D19" s="581">
        <f>SUM(D20:D22)</f>
        <v>0</v>
      </c>
      <c r="E19" s="558">
        <f>+'8.3.1. sz. mell.'!E19+'8.3.2. sz. mell. '!E19+'8.3.3. sz. mell.'!E19</f>
        <v>0</v>
      </c>
    </row>
    <row r="20" spans="1:5" s="541" customFormat="1" ht="12" customHeight="1">
      <c r="A20" s="564" t="s">
        <v>77</v>
      </c>
      <c r="B20" s="341" t="s">
        <v>309</v>
      </c>
      <c r="C20" s="416"/>
      <c r="D20" s="583"/>
      <c r="E20" s="664">
        <f>+'8.3.1. sz. mell.'!E20+'8.3.2. sz. mell. '!E20+'8.3.3. sz. mell.'!E20</f>
        <v>0</v>
      </c>
    </row>
    <row r="21" spans="1:5" s="541" customFormat="1" ht="12" customHeight="1">
      <c r="A21" s="564" t="s">
        <v>78</v>
      </c>
      <c r="B21" s="340" t="s">
        <v>553</v>
      </c>
      <c r="C21" s="416"/>
      <c r="D21" s="583"/>
      <c r="E21" s="666">
        <f>+'8.3.1. sz. mell.'!E21+'8.3.2. sz. mell. '!E21+'8.3.3. sz. mell.'!E21</f>
        <v>0</v>
      </c>
    </row>
    <row r="22" spans="1:5" s="541" customFormat="1" ht="12" customHeight="1">
      <c r="A22" s="564" t="s">
        <v>79</v>
      </c>
      <c r="B22" s="340" t="s">
        <v>554</v>
      </c>
      <c r="C22" s="416"/>
      <c r="D22" s="583"/>
      <c r="E22" s="666">
        <f>+'8.3.1. sz. mell.'!E22+'8.3.2. sz. mell. '!E22+'8.3.3. sz. mell.'!E22</f>
        <v>0</v>
      </c>
    </row>
    <row r="23" spans="1:5" s="514" customFormat="1" ht="12" customHeight="1" thickBot="1">
      <c r="A23" s="564" t="s">
        <v>80</v>
      </c>
      <c r="B23" s="340" t="s">
        <v>671</v>
      </c>
      <c r="C23" s="416"/>
      <c r="D23" s="583"/>
      <c r="E23" s="665">
        <f>+'8.3.1. sz. mell.'!E23+'8.3.2. sz. mell. '!E23+'8.3.3. sz. mell.'!E23</f>
        <v>0</v>
      </c>
    </row>
    <row r="24" spans="1:5" s="514" customFormat="1" ht="12" customHeight="1" thickBot="1">
      <c r="A24" s="551" t="s">
        <v>9</v>
      </c>
      <c r="B24" s="360" t="s">
        <v>124</v>
      </c>
      <c r="C24" s="41"/>
      <c r="D24" s="585"/>
      <c r="E24" s="558">
        <f>+'8.3.1. sz. mell.'!E24+'8.3.2. sz. mell. '!E24+'8.3.3. sz. mell.'!E24</f>
        <v>0</v>
      </c>
    </row>
    <row r="25" spans="1:5" s="514" customFormat="1" ht="12" customHeight="1" thickBot="1">
      <c r="A25" s="551" t="s">
        <v>10</v>
      </c>
      <c r="B25" s="360" t="s">
        <v>555</v>
      </c>
      <c r="C25" s="419">
        <f>+C26+C27</f>
        <v>0</v>
      </c>
      <c r="D25" s="581">
        <f>+D26+D27</f>
        <v>0</v>
      </c>
      <c r="E25" s="558">
        <f>+'8.3.1. sz. mell.'!E25+'8.3.2. sz. mell. '!E25+'8.3.3. sz. mell.'!E25</f>
        <v>0</v>
      </c>
    </row>
    <row r="26" spans="1:5" s="514" customFormat="1" ht="12" customHeight="1">
      <c r="A26" s="565" t="s">
        <v>322</v>
      </c>
      <c r="B26" s="566" t="s">
        <v>553</v>
      </c>
      <c r="C26" s="103"/>
      <c r="D26" s="572"/>
      <c r="E26" s="664">
        <f>+'8.3.1. sz. mell.'!E26+'8.3.2. sz. mell. '!E26+'8.3.3. sz. mell.'!E26</f>
        <v>0</v>
      </c>
    </row>
    <row r="27" spans="1:5" s="514" customFormat="1" ht="12" customHeight="1">
      <c r="A27" s="565" t="s">
        <v>323</v>
      </c>
      <c r="B27" s="567" t="s">
        <v>556</v>
      </c>
      <c r="C27" s="420"/>
      <c r="D27" s="586"/>
      <c r="E27" s="666">
        <f>+'8.3.1. sz. mell.'!E27+'8.3.2. sz. mell. '!E27+'8.3.3. sz. mell.'!E27</f>
        <v>0</v>
      </c>
    </row>
    <row r="28" spans="1:5" s="514" customFormat="1" ht="12" customHeight="1" thickBot="1">
      <c r="A28" s="564" t="s">
        <v>324</v>
      </c>
      <c r="B28" s="568" t="s">
        <v>672</v>
      </c>
      <c r="C28" s="548"/>
      <c r="D28" s="587"/>
      <c r="E28" s="665">
        <f>+'8.3.1. sz. mell.'!E28+'8.3.2. sz. mell. '!E28+'8.3.3. sz. mell.'!E28</f>
        <v>0</v>
      </c>
    </row>
    <row r="29" spans="1:5" s="514" customFormat="1" ht="12" customHeight="1" thickBot="1">
      <c r="A29" s="551" t="s">
        <v>11</v>
      </c>
      <c r="B29" s="360" t="s">
        <v>557</v>
      </c>
      <c r="C29" s="419">
        <f>+C30+C31+C32</f>
        <v>0</v>
      </c>
      <c r="D29" s="581">
        <f>+D30+D31+D32</f>
        <v>0</v>
      </c>
      <c r="E29" s="558">
        <f>+'8.3.1. sz. mell.'!E29+'8.3.2. sz. mell. '!E29+'8.3.3. sz. mell.'!E29</f>
        <v>0</v>
      </c>
    </row>
    <row r="30" spans="1:5" s="514" customFormat="1" ht="12" customHeight="1">
      <c r="A30" s="565" t="s">
        <v>64</v>
      </c>
      <c r="B30" s="566" t="s">
        <v>341</v>
      </c>
      <c r="C30" s="103"/>
      <c r="D30" s="572"/>
      <c r="E30" s="664">
        <f>+'8.3.1. sz. mell.'!E30+'8.3.2. sz. mell. '!E30+'8.3.3. sz. mell.'!E30</f>
        <v>0</v>
      </c>
    </row>
    <row r="31" spans="1:5" s="514" customFormat="1" ht="12" customHeight="1">
      <c r="A31" s="565" t="s">
        <v>65</v>
      </c>
      <c r="B31" s="567" t="s">
        <v>342</v>
      </c>
      <c r="C31" s="420"/>
      <c r="D31" s="586"/>
      <c r="E31" s="666">
        <f>+'8.3.1. sz. mell.'!E31+'8.3.2. sz. mell. '!E31+'8.3.3. sz. mell.'!E31</f>
        <v>0</v>
      </c>
    </row>
    <row r="32" spans="1:5" s="514" customFormat="1" ht="12" customHeight="1" thickBot="1">
      <c r="A32" s="564" t="s">
        <v>66</v>
      </c>
      <c r="B32" s="550" t="s">
        <v>344</v>
      </c>
      <c r="C32" s="548"/>
      <c r="D32" s="587"/>
      <c r="E32" s="665">
        <f>+'8.3.1. sz. mell.'!E32+'8.3.2. sz. mell. '!E32+'8.3.3. sz. mell.'!E32</f>
        <v>0</v>
      </c>
    </row>
    <row r="33" spans="1:5" s="514" customFormat="1" ht="12" customHeight="1" thickBot="1">
      <c r="A33" s="551" t="s">
        <v>12</v>
      </c>
      <c r="B33" s="360" t="s">
        <v>469</v>
      </c>
      <c r="C33" s="41"/>
      <c r="D33" s="585"/>
      <c r="E33" s="558">
        <f>+'8.3.1. sz. mell.'!E33+'8.3.2. sz. mell. '!E33+'8.3.3. sz. mell.'!E33</f>
        <v>0</v>
      </c>
    </row>
    <row r="34" spans="1:5" s="514" customFormat="1" ht="12" customHeight="1" thickBot="1">
      <c r="A34" s="551" t="s">
        <v>13</v>
      </c>
      <c r="B34" s="360" t="s">
        <v>558</v>
      </c>
      <c r="C34" s="41"/>
      <c r="D34" s="585"/>
      <c r="E34" s="558">
        <f>+'8.3.1. sz. mell.'!E34+'8.3.2. sz. mell. '!E34+'8.3.3. sz. mell.'!E34</f>
        <v>0</v>
      </c>
    </row>
    <row r="35" spans="1:5" s="514" customFormat="1" ht="12" customHeight="1" thickBot="1">
      <c r="A35" s="488" t="s">
        <v>14</v>
      </c>
      <c r="B35" s="360" t="s">
        <v>559</v>
      </c>
      <c r="C35" s="419">
        <f>+C8+C19+C24+C25+C29+C33+C34</f>
        <v>0</v>
      </c>
      <c r="D35" s="581">
        <f>+D8+D19+D24+D25+D29+D33+D34</f>
        <v>50</v>
      </c>
      <c r="E35" s="558">
        <f>+'8.3.1. sz. mell.'!E35+'8.3.2. sz. mell. '!E35+'8.3.3. sz. mell.'!E35</f>
        <v>1730344</v>
      </c>
    </row>
    <row r="36" spans="1:5" s="541" customFormat="1" ht="12" customHeight="1" thickBot="1">
      <c r="A36" s="553" t="s">
        <v>15</v>
      </c>
      <c r="B36" s="360" t="s">
        <v>560</v>
      </c>
      <c r="C36" s="419">
        <f>+C37+C38+C39</f>
        <v>103544000</v>
      </c>
      <c r="D36" s="581">
        <f>+D37+D38+D39</f>
        <v>104177885</v>
      </c>
      <c r="E36" s="558">
        <f>+'8.3.1. sz. mell.'!E36+'8.3.2. sz. mell. '!E36+'8.3.3. sz. mell.'!E36</f>
        <v>93521769</v>
      </c>
    </row>
    <row r="37" spans="1:5" s="541" customFormat="1" ht="15" customHeight="1">
      <c r="A37" s="565" t="s">
        <v>561</v>
      </c>
      <c r="B37" s="566" t="s">
        <v>165</v>
      </c>
      <c r="C37" s="103"/>
      <c r="D37" s="572">
        <v>525951</v>
      </c>
      <c r="E37" s="664">
        <f>+'8.3.1. sz. mell.'!E37+'8.3.2. sz. mell. '!E37+'8.3.3. sz. mell.'!E37</f>
        <v>525951</v>
      </c>
    </row>
    <row r="38" spans="1:5" s="541" customFormat="1" ht="15" customHeight="1">
      <c r="A38" s="565" t="s">
        <v>562</v>
      </c>
      <c r="B38" s="567" t="s">
        <v>3</v>
      </c>
      <c r="C38" s="420"/>
      <c r="D38" s="586"/>
      <c r="E38" s="666">
        <f>+'8.3.1. sz. mell.'!E38+'8.3.2. sz. mell. '!E38+'8.3.3. sz. mell.'!E38</f>
        <v>0</v>
      </c>
    </row>
    <row r="39" spans="1:5" ht="13.5" thickBot="1">
      <c r="A39" s="564" t="s">
        <v>563</v>
      </c>
      <c r="B39" s="550" t="s">
        <v>564</v>
      </c>
      <c r="C39" s="548">
        <v>103544000</v>
      </c>
      <c r="D39" s="587">
        <v>103651934</v>
      </c>
      <c r="E39" s="665">
        <f>+'8.3.1. sz. mell.'!E39+'8.3.2. sz. mell. '!E39+'8.3.3. sz. mell.'!E39</f>
        <v>92995818</v>
      </c>
    </row>
    <row r="40" spans="1:5" s="540" customFormat="1" ht="16.5" customHeight="1" thickBot="1">
      <c r="A40" s="553" t="s">
        <v>16</v>
      </c>
      <c r="B40" s="554" t="s">
        <v>565</v>
      </c>
      <c r="C40" s="109">
        <f>+C35+C36</f>
        <v>103544000</v>
      </c>
      <c r="D40" s="588">
        <f>+D35+D36</f>
        <v>104177935</v>
      </c>
      <c r="E40" s="558">
        <f>+'8.3.1. sz. mell.'!E40+'8.3.2. sz. mell. '!E40+'8.3.3. sz. mell.'!E40</f>
        <v>95252113</v>
      </c>
    </row>
    <row r="41" spans="1:5" s="315" customFormat="1" ht="12" customHeight="1">
      <c r="A41" s="496"/>
      <c r="B41" s="497"/>
      <c r="C41" s="512"/>
      <c r="D41" s="512"/>
      <c r="E41" s="512"/>
    </row>
    <row r="42" spans="1:5" ht="12" customHeight="1" thickBot="1">
      <c r="A42" s="498"/>
      <c r="B42" s="499"/>
      <c r="C42" s="513"/>
      <c r="D42" s="513"/>
      <c r="E42" s="513"/>
    </row>
    <row r="43" spans="1:5" ht="12" customHeight="1" thickBot="1">
      <c r="A43" s="863" t="s">
        <v>43</v>
      </c>
      <c r="B43" s="864"/>
      <c r="C43" s="864"/>
      <c r="D43" s="864"/>
      <c r="E43" s="865"/>
    </row>
    <row r="44" spans="1:5" ht="12" customHeight="1" thickBot="1">
      <c r="A44" s="551" t="s">
        <v>7</v>
      </c>
      <c r="B44" s="360" t="s">
        <v>566</v>
      </c>
      <c r="C44" s="419">
        <f>SUM(C45:C49)</f>
        <v>103544000</v>
      </c>
      <c r="D44" s="419">
        <f>SUM(D45:D49)</f>
        <v>103758736</v>
      </c>
      <c r="E44" s="558">
        <f>+'8.3.1. sz. mell.'!E44+'8.3.2. sz. mell. '!E44+'8.3.3. sz. mell.'!E44</f>
        <v>97980577</v>
      </c>
    </row>
    <row r="45" spans="1:5" ht="12" customHeight="1">
      <c r="A45" s="564" t="s">
        <v>71</v>
      </c>
      <c r="B45" s="341" t="s">
        <v>37</v>
      </c>
      <c r="C45" s="103">
        <v>67835000</v>
      </c>
      <c r="D45" s="103">
        <v>67714639</v>
      </c>
      <c r="E45" s="664">
        <f>+'8.3.1. sz. mell.'!E45+'8.3.2. sz. mell. '!E45+'8.3.3. sz. mell.'!E45</f>
        <v>66234120</v>
      </c>
    </row>
    <row r="46" spans="1:5" ht="12" customHeight="1">
      <c r="A46" s="564" t="s">
        <v>72</v>
      </c>
      <c r="B46" s="340" t="s">
        <v>133</v>
      </c>
      <c r="C46" s="413">
        <v>18316000</v>
      </c>
      <c r="D46" s="413">
        <v>18436361</v>
      </c>
      <c r="E46" s="666">
        <f>+'8.3.1. sz. mell.'!E46+'8.3.2. sz. mell. '!E46+'8.3.3. sz. mell.'!E46</f>
        <v>18318339</v>
      </c>
    </row>
    <row r="47" spans="1:5" ht="12" customHeight="1">
      <c r="A47" s="564" t="s">
        <v>73</v>
      </c>
      <c r="B47" s="340" t="s">
        <v>100</v>
      </c>
      <c r="C47" s="413">
        <v>17393000</v>
      </c>
      <c r="D47" s="413">
        <v>17607736</v>
      </c>
      <c r="E47" s="667">
        <f>+'8.3.1. sz. mell.'!E47+'8.3.2. sz. mell. '!E47+'8.3.3. sz. mell.'!E47</f>
        <v>13428118</v>
      </c>
    </row>
    <row r="48" spans="1:5" s="315" customFormat="1" ht="12" customHeight="1">
      <c r="A48" s="564" t="s">
        <v>74</v>
      </c>
      <c r="B48" s="340" t="s">
        <v>134</v>
      </c>
      <c r="C48" s="413"/>
      <c r="D48" s="413"/>
      <c r="E48" s="666">
        <f>+'8.3.1. sz. mell.'!E48+'8.3.2. sz. mell. '!E48+'8.3.3. sz. mell.'!E48</f>
        <v>0</v>
      </c>
    </row>
    <row r="49" spans="1:5" ht="12" customHeight="1" thickBot="1">
      <c r="A49" s="564" t="s">
        <v>107</v>
      </c>
      <c r="B49" s="340" t="s">
        <v>135</v>
      </c>
      <c r="C49" s="413"/>
      <c r="D49" s="413"/>
      <c r="E49" s="665">
        <f>+'8.3.1. sz. mell.'!E49+'8.3.2. sz. mell. '!E49+'8.3.3. sz. mell.'!E49</f>
        <v>0</v>
      </c>
    </row>
    <row r="50" spans="1:5" ht="12" customHeight="1" thickBot="1">
      <c r="A50" s="551" t="s">
        <v>8</v>
      </c>
      <c r="B50" s="360" t="s">
        <v>567</v>
      </c>
      <c r="C50" s="419">
        <f>SUM(C51:C53)</f>
        <v>0</v>
      </c>
      <c r="D50" s="419">
        <f>SUM(D51:D53)</f>
        <v>419199</v>
      </c>
      <c r="E50" s="558">
        <f>+'8.3.1. sz. mell.'!E50+'8.3.2. sz. mell. '!E50+'8.3.3. sz. mell.'!E50</f>
        <v>419199</v>
      </c>
    </row>
    <row r="51" spans="1:5" ht="12" customHeight="1">
      <c r="A51" s="564" t="s">
        <v>77</v>
      </c>
      <c r="B51" s="341" t="s">
        <v>155</v>
      </c>
      <c r="C51" s="103"/>
      <c r="D51" s="103">
        <v>419199</v>
      </c>
      <c r="E51" s="664">
        <f>+'8.3.1. sz. mell.'!E51+'8.3.2. sz. mell. '!E51+'8.3.3. sz. mell.'!E51</f>
        <v>419199</v>
      </c>
    </row>
    <row r="52" spans="1:5" ht="12" customHeight="1">
      <c r="A52" s="564" t="s">
        <v>78</v>
      </c>
      <c r="B52" s="340" t="s">
        <v>137</v>
      </c>
      <c r="C52" s="413"/>
      <c r="D52" s="413"/>
      <c r="E52" s="666">
        <f>+'8.3.1. sz. mell.'!E52+'8.3.2. sz. mell. '!E52+'8.3.3. sz. mell.'!E52</f>
        <v>0</v>
      </c>
    </row>
    <row r="53" spans="1:5" ht="15" customHeight="1">
      <c r="A53" s="564" t="s">
        <v>79</v>
      </c>
      <c r="B53" s="340" t="s">
        <v>44</v>
      </c>
      <c r="C53" s="413"/>
      <c r="D53" s="413"/>
      <c r="E53" s="666">
        <f>+'8.3.1. sz. mell.'!E53+'8.3.2. sz. mell. '!E53+'8.3.3. sz. mell.'!E53</f>
        <v>0</v>
      </c>
    </row>
    <row r="54" spans="1:5" ht="13.5" thickBot="1">
      <c r="A54" s="564" t="s">
        <v>80</v>
      </c>
      <c r="B54" s="340" t="s">
        <v>673</v>
      </c>
      <c r="C54" s="413"/>
      <c r="D54" s="413"/>
      <c r="E54" s="665">
        <f>+'8.3.1. sz. mell.'!E54+'8.3.2. sz. mell. '!E54+'8.3.3. sz. mell.'!E54</f>
        <v>0</v>
      </c>
    </row>
    <row r="55" spans="1:5" ht="15" customHeight="1" thickBot="1">
      <c r="A55" s="551" t="s">
        <v>9</v>
      </c>
      <c r="B55" s="555" t="s">
        <v>568</v>
      </c>
      <c r="C55" s="109">
        <f>+C44+C50</f>
        <v>103544000</v>
      </c>
      <c r="D55" s="109">
        <f>+D44+D50</f>
        <v>104177935</v>
      </c>
      <c r="E55" s="558">
        <f>+'8.3.1. sz. mell.'!E55+'8.3.2. sz. mell. '!E55+'8.3.3. sz. mell.'!E55</f>
        <v>98399776</v>
      </c>
    </row>
    <row r="56" spans="1:5" ht="13.5" thickBot="1">
      <c r="C56" s="560"/>
      <c r="D56" s="560"/>
      <c r="E56" s="560"/>
    </row>
    <row r="57" spans="1:5" ht="13.5" thickBot="1">
      <c r="A57" s="647" t="s">
        <v>729</v>
      </c>
      <c r="B57" s="648"/>
      <c r="C57" s="113"/>
      <c r="D57" s="113"/>
      <c r="E57" s="549">
        <f>+'8.3.1. sz. mell.'!E57+'8.3.2. sz. mell. '!E57+'8.3.3. sz. mell.'!E57</f>
        <v>29</v>
      </c>
    </row>
    <row r="58" spans="1:5" ht="13.5" thickBot="1">
      <c r="A58" s="649" t="s">
        <v>728</v>
      </c>
      <c r="B58" s="650"/>
      <c r="C58" s="113"/>
      <c r="D58" s="113"/>
      <c r="E58" s="549">
        <f>+'8.3.1. sz. mell.'!E58+'8.3.2. sz. mell. '!E58+'8.3.3. sz. mell.'!E58</f>
        <v>0</v>
      </c>
    </row>
  </sheetData>
  <sheetProtection formatCells="0"/>
  <mergeCells count="4">
    <mergeCell ref="B2:D2"/>
    <mergeCell ref="B3:D3"/>
    <mergeCell ref="A7:E7"/>
    <mergeCell ref="A43:E43"/>
  </mergeCells>
  <phoneticPr fontId="27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92D050"/>
  </sheetPr>
  <dimension ref="A1:E58"/>
  <sheetViews>
    <sheetView zoomScaleNormal="100" zoomScaleSheetLayoutView="145" workbookViewId="0">
      <selection activeCell="E2" sqref="E2"/>
    </sheetView>
  </sheetViews>
  <sheetFormatPr defaultRowHeight="12.75"/>
  <cols>
    <col min="1" max="1" width="18.6640625" style="556" customWidth="1"/>
    <col min="2" max="2" width="62" style="32" customWidth="1"/>
    <col min="3" max="5" width="15.83203125" style="32" customWidth="1"/>
    <col min="6" max="16384" width="9.33203125" style="32"/>
  </cols>
  <sheetData>
    <row r="1" spans="1:5" s="491" customFormat="1" ht="21" customHeight="1" thickBot="1">
      <c r="A1" s="490"/>
      <c r="B1" s="492"/>
      <c r="C1" s="537"/>
      <c r="D1" s="537"/>
      <c r="E1" s="630" t="str">
        <f>+CONCATENATE("8.3.1. melléklet a 15/",LEFT(ÖSSZEFÜGGÉSEK!A4,4)+1,". (V. 30.) önkormányzati rendelethez")</f>
        <v>8.3.1. melléklet a 15/2017. (V. 30.) önkormányzati rendelethez</v>
      </c>
    </row>
    <row r="2" spans="1:5" s="538" customFormat="1" ht="25.5" customHeight="1">
      <c r="A2" s="518" t="s">
        <v>147</v>
      </c>
      <c r="B2" s="866" t="s">
        <v>735</v>
      </c>
      <c r="C2" s="867"/>
      <c r="D2" s="868"/>
      <c r="E2" s="561" t="s">
        <v>50</v>
      </c>
    </row>
    <row r="3" spans="1:5" s="538" customFormat="1" ht="24.75" thickBot="1">
      <c r="A3" s="536" t="s">
        <v>146</v>
      </c>
      <c r="B3" s="869" t="s">
        <v>663</v>
      </c>
      <c r="C3" s="872"/>
      <c r="D3" s="873"/>
      <c r="E3" s="562" t="s">
        <v>47</v>
      </c>
    </row>
    <row r="4" spans="1:5" s="539" customFormat="1" ht="15.95" customHeight="1" thickBot="1">
      <c r="A4" s="493"/>
      <c r="B4" s="493"/>
      <c r="C4" s="494"/>
      <c r="D4" s="494"/>
      <c r="E4" s="494" t="s">
        <v>769</v>
      </c>
    </row>
    <row r="5" spans="1:5" ht="24.75" thickBot="1">
      <c r="A5" s="325" t="s">
        <v>148</v>
      </c>
      <c r="B5" s="326" t="s">
        <v>727</v>
      </c>
      <c r="C5" s="97" t="s">
        <v>178</v>
      </c>
      <c r="D5" s="97" t="s">
        <v>183</v>
      </c>
      <c r="E5" s="495" t="s">
        <v>184</v>
      </c>
    </row>
    <row r="6" spans="1:5" s="540" customFormat="1" ht="12.95" customHeight="1" thickBot="1">
      <c r="A6" s="488" t="s">
        <v>409</v>
      </c>
      <c r="B6" s="489" t="s">
        <v>410</v>
      </c>
      <c r="C6" s="489" t="s">
        <v>411</v>
      </c>
      <c r="D6" s="112" t="s">
        <v>412</v>
      </c>
      <c r="E6" s="110" t="s">
        <v>413</v>
      </c>
    </row>
    <row r="7" spans="1:5" s="540" customFormat="1" ht="15.95" customHeight="1" thickBot="1">
      <c r="A7" s="863" t="s">
        <v>42</v>
      </c>
      <c r="B7" s="864"/>
      <c r="C7" s="864"/>
      <c r="D7" s="864"/>
      <c r="E7" s="865"/>
    </row>
    <row r="8" spans="1:5" s="514" customFormat="1" ht="12" customHeight="1" thickBot="1">
      <c r="A8" s="488" t="s">
        <v>7</v>
      </c>
      <c r="B8" s="552" t="s">
        <v>549</v>
      </c>
      <c r="C8" s="419">
        <f>SUM(C9:C18)</f>
        <v>0</v>
      </c>
      <c r="D8" s="581">
        <f>SUM(D9:D18)</f>
        <v>50</v>
      </c>
      <c r="E8" s="558">
        <f>SUM(E9:E18)</f>
        <v>1730344</v>
      </c>
    </row>
    <row r="9" spans="1:5" s="514" customFormat="1" ht="12" customHeight="1">
      <c r="A9" s="563" t="s">
        <v>71</v>
      </c>
      <c r="B9" s="342" t="s">
        <v>328</v>
      </c>
      <c r="C9" s="106"/>
      <c r="D9" s="582"/>
      <c r="E9" s="547"/>
    </row>
    <row r="10" spans="1:5" s="514" customFormat="1" ht="12" customHeight="1">
      <c r="A10" s="564" t="s">
        <v>72</v>
      </c>
      <c r="B10" s="340" t="s">
        <v>329</v>
      </c>
      <c r="C10" s="416"/>
      <c r="D10" s="583"/>
      <c r="E10" s="115"/>
    </row>
    <row r="11" spans="1:5" s="514" customFormat="1" ht="12" customHeight="1">
      <c r="A11" s="564" t="s">
        <v>73</v>
      </c>
      <c r="B11" s="340" t="s">
        <v>330</v>
      </c>
      <c r="C11" s="416"/>
      <c r="D11" s="583"/>
      <c r="E11" s="115"/>
    </row>
    <row r="12" spans="1:5" s="514" customFormat="1" ht="12" customHeight="1">
      <c r="A12" s="564" t="s">
        <v>74</v>
      </c>
      <c r="B12" s="340" t="s">
        <v>331</v>
      </c>
      <c r="C12" s="416"/>
      <c r="D12" s="583"/>
      <c r="E12" s="115"/>
    </row>
    <row r="13" spans="1:5" s="514" customFormat="1" ht="12" customHeight="1">
      <c r="A13" s="564" t="s">
        <v>107</v>
      </c>
      <c r="B13" s="340" t="s">
        <v>332</v>
      </c>
      <c r="C13" s="416"/>
      <c r="D13" s="583"/>
      <c r="E13" s="115"/>
    </row>
    <row r="14" spans="1:5" s="514" customFormat="1" ht="12" customHeight="1">
      <c r="A14" s="564" t="s">
        <v>75</v>
      </c>
      <c r="B14" s="340" t="s">
        <v>550</v>
      </c>
      <c r="C14" s="416"/>
      <c r="D14" s="583"/>
      <c r="E14" s="115"/>
    </row>
    <row r="15" spans="1:5" s="541" customFormat="1" ht="12" customHeight="1">
      <c r="A15" s="564" t="s">
        <v>76</v>
      </c>
      <c r="B15" s="339" t="s">
        <v>551</v>
      </c>
      <c r="C15" s="416"/>
      <c r="D15" s="583"/>
      <c r="E15" s="115"/>
    </row>
    <row r="16" spans="1:5" s="541" customFormat="1" ht="12" customHeight="1">
      <c r="A16" s="564" t="s">
        <v>84</v>
      </c>
      <c r="B16" s="340" t="s">
        <v>335</v>
      </c>
      <c r="C16" s="107"/>
      <c r="D16" s="584"/>
      <c r="E16" s="546">
        <v>25</v>
      </c>
    </row>
    <row r="17" spans="1:5" s="514" customFormat="1" ht="12" customHeight="1">
      <c r="A17" s="564" t="s">
        <v>85</v>
      </c>
      <c r="B17" s="340" t="s">
        <v>337</v>
      </c>
      <c r="C17" s="416"/>
      <c r="D17" s="583"/>
      <c r="E17" s="115"/>
    </row>
    <row r="18" spans="1:5" s="541" customFormat="1" ht="12" customHeight="1" thickBot="1">
      <c r="A18" s="564" t="s">
        <v>86</v>
      </c>
      <c r="B18" s="339" t="s">
        <v>339</v>
      </c>
      <c r="C18" s="418"/>
      <c r="D18" s="116">
        <v>50</v>
      </c>
      <c r="E18" s="542">
        <v>1730319</v>
      </c>
    </row>
    <row r="19" spans="1:5" s="541" customFormat="1" ht="12" customHeight="1" thickBot="1">
      <c r="A19" s="488" t="s">
        <v>8</v>
      </c>
      <c r="B19" s="552" t="s">
        <v>552</v>
      </c>
      <c r="C19" s="419">
        <f>SUM(C20:C22)</f>
        <v>0</v>
      </c>
      <c r="D19" s="581">
        <f>SUM(D20:D22)</f>
        <v>0</v>
      </c>
      <c r="E19" s="558">
        <f>SUM(E20:E22)</f>
        <v>0</v>
      </c>
    </row>
    <row r="20" spans="1:5" s="541" customFormat="1" ht="12" customHeight="1">
      <c r="A20" s="564" t="s">
        <v>77</v>
      </c>
      <c r="B20" s="341" t="s">
        <v>309</v>
      </c>
      <c r="C20" s="416"/>
      <c r="D20" s="583"/>
      <c r="E20" s="115"/>
    </row>
    <row r="21" spans="1:5" s="541" customFormat="1" ht="12" customHeight="1">
      <c r="A21" s="564" t="s">
        <v>78</v>
      </c>
      <c r="B21" s="340" t="s">
        <v>553</v>
      </c>
      <c r="C21" s="416"/>
      <c r="D21" s="583"/>
      <c r="E21" s="115"/>
    </row>
    <row r="22" spans="1:5" s="541" customFormat="1" ht="12" customHeight="1">
      <c r="A22" s="564" t="s">
        <v>79</v>
      </c>
      <c r="B22" s="340" t="s">
        <v>554</v>
      </c>
      <c r="C22" s="416"/>
      <c r="D22" s="583"/>
      <c r="E22" s="115"/>
    </row>
    <row r="23" spans="1:5" s="514" customFormat="1" ht="12" customHeight="1" thickBot="1">
      <c r="A23" s="564" t="s">
        <v>80</v>
      </c>
      <c r="B23" s="340" t="s">
        <v>671</v>
      </c>
      <c r="C23" s="416"/>
      <c r="D23" s="583"/>
      <c r="E23" s="115"/>
    </row>
    <row r="24" spans="1:5" s="514" customFormat="1" ht="12" customHeight="1" thickBot="1">
      <c r="A24" s="551" t="s">
        <v>9</v>
      </c>
      <c r="B24" s="360" t="s">
        <v>124</v>
      </c>
      <c r="C24" s="41"/>
      <c r="D24" s="585"/>
      <c r="E24" s="557"/>
    </row>
    <row r="25" spans="1:5" s="514" customFormat="1" ht="12" customHeight="1" thickBot="1">
      <c r="A25" s="551" t="s">
        <v>10</v>
      </c>
      <c r="B25" s="360" t="s">
        <v>555</v>
      </c>
      <c r="C25" s="419">
        <f>+C26+C27</f>
        <v>0</v>
      </c>
      <c r="D25" s="581">
        <f>+D26+D27</f>
        <v>0</v>
      </c>
      <c r="E25" s="558">
        <f>+E26+E27</f>
        <v>0</v>
      </c>
    </row>
    <row r="26" spans="1:5" s="514" customFormat="1" ht="12" customHeight="1">
      <c r="A26" s="565" t="s">
        <v>322</v>
      </c>
      <c r="B26" s="566" t="s">
        <v>553</v>
      </c>
      <c r="C26" s="103"/>
      <c r="D26" s="572"/>
      <c r="E26" s="545"/>
    </row>
    <row r="27" spans="1:5" s="514" customFormat="1" ht="12" customHeight="1">
      <c r="A27" s="565" t="s">
        <v>323</v>
      </c>
      <c r="B27" s="567" t="s">
        <v>556</v>
      </c>
      <c r="C27" s="420"/>
      <c r="D27" s="586"/>
      <c r="E27" s="544"/>
    </row>
    <row r="28" spans="1:5" s="514" customFormat="1" ht="12" customHeight="1" thickBot="1">
      <c r="A28" s="564" t="s">
        <v>324</v>
      </c>
      <c r="B28" s="568" t="s">
        <v>672</v>
      </c>
      <c r="C28" s="548"/>
      <c r="D28" s="587"/>
      <c r="E28" s="543"/>
    </row>
    <row r="29" spans="1:5" s="514" customFormat="1" ht="12" customHeight="1" thickBot="1">
      <c r="A29" s="551" t="s">
        <v>11</v>
      </c>
      <c r="B29" s="360" t="s">
        <v>557</v>
      </c>
      <c r="C29" s="419">
        <f>+C30+C31+C32</f>
        <v>0</v>
      </c>
      <c r="D29" s="581">
        <f>+D30+D31+D32</f>
        <v>0</v>
      </c>
      <c r="E29" s="558">
        <f>+E30+E31+E32</f>
        <v>0</v>
      </c>
    </row>
    <row r="30" spans="1:5" s="514" customFormat="1" ht="12" customHeight="1">
      <c r="A30" s="565" t="s">
        <v>64</v>
      </c>
      <c r="B30" s="566" t="s">
        <v>341</v>
      </c>
      <c r="C30" s="103"/>
      <c r="D30" s="572"/>
      <c r="E30" s="545"/>
    </row>
    <row r="31" spans="1:5" s="514" customFormat="1" ht="12" customHeight="1">
      <c r="A31" s="565" t="s">
        <v>65</v>
      </c>
      <c r="B31" s="567" t="s">
        <v>342</v>
      </c>
      <c r="C31" s="420"/>
      <c r="D31" s="586"/>
      <c r="E31" s="544"/>
    </row>
    <row r="32" spans="1:5" s="514" customFormat="1" ht="12" customHeight="1" thickBot="1">
      <c r="A32" s="564" t="s">
        <v>66</v>
      </c>
      <c r="B32" s="550" t="s">
        <v>344</v>
      </c>
      <c r="C32" s="548"/>
      <c r="D32" s="587"/>
      <c r="E32" s="543"/>
    </row>
    <row r="33" spans="1:5" s="514" customFormat="1" ht="12" customHeight="1" thickBot="1">
      <c r="A33" s="551" t="s">
        <v>12</v>
      </c>
      <c r="B33" s="360" t="s">
        <v>469</v>
      </c>
      <c r="C33" s="41"/>
      <c r="D33" s="585"/>
      <c r="E33" s="557"/>
    </row>
    <row r="34" spans="1:5" s="514" customFormat="1" ht="12" customHeight="1" thickBot="1">
      <c r="A34" s="551" t="s">
        <v>13</v>
      </c>
      <c r="B34" s="360" t="s">
        <v>558</v>
      </c>
      <c r="C34" s="41"/>
      <c r="D34" s="585"/>
      <c r="E34" s="557"/>
    </row>
    <row r="35" spans="1:5" s="514" customFormat="1" ht="12" customHeight="1" thickBot="1">
      <c r="A35" s="488" t="s">
        <v>14</v>
      </c>
      <c r="B35" s="360" t="s">
        <v>559</v>
      </c>
      <c r="C35" s="419">
        <f>+C8+C19+C24+C25+C29+C33+C34</f>
        <v>0</v>
      </c>
      <c r="D35" s="581">
        <f>+D8+D19+D24+D25+D29+D33+D34</f>
        <v>50</v>
      </c>
      <c r="E35" s="558">
        <f>+E8+E19+E24+E25+E29+E33+E34</f>
        <v>1730344</v>
      </c>
    </row>
    <row r="36" spans="1:5" s="541" customFormat="1" ht="12" customHeight="1" thickBot="1">
      <c r="A36" s="553" t="s">
        <v>15</v>
      </c>
      <c r="B36" s="360" t="s">
        <v>560</v>
      </c>
      <c r="C36" s="419">
        <f>+C37+C38+C39</f>
        <v>103544000</v>
      </c>
      <c r="D36" s="581">
        <f>+D37+D38+D39</f>
        <v>104177885</v>
      </c>
      <c r="E36" s="558">
        <f>+E37+E38+E39</f>
        <v>93521769</v>
      </c>
    </row>
    <row r="37" spans="1:5" s="541" customFormat="1" ht="15" customHeight="1">
      <c r="A37" s="565" t="s">
        <v>561</v>
      </c>
      <c r="B37" s="566" t="s">
        <v>165</v>
      </c>
      <c r="C37" s="103"/>
      <c r="D37" s="572">
        <v>525951</v>
      </c>
      <c r="E37" s="545">
        <v>525951</v>
      </c>
    </row>
    <row r="38" spans="1:5" s="541" customFormat="1" ht="15" customHeight="1">
      <c r="A38" s="565" t="s">
        <v>562</v>
      </c>
      <c r="B38" s="567" t="s">
        <v>3</v>
      </c>
      <c r="C38" s="420"/>
      <c r="D38" s="586"/>
      <c r="E38" s="544"/>
    </row>
    <row r="39" spans="1:5" ht="13.5" thickBot="1">
      <c r="A39" s="564" t="s">
        <v>563</v>
      </c>
      <c r="B39" s="550" t="s">
        <v>564</v>
      </c>
      <c r="C39" s="548">
        <v>103544000</v>
      </c>
      <c r="D39" s="587">
        <v>103651934</v>
      </c>
      <c r="E39" s="543">
        <v>92995818</v>
      </c>
    </row>
    <row r="40" spans="1:5" s="540" customFormat="1" ht="16.5" customHeight="1" thickBot="1">
      <c r="A40" s="553" t="s">
        <v>16</v>
      </c>
      <c r="B40" s="554" t="s">
        <v>565</v>
      </c>
      <c r="C40" s="109">
        <f>+C35+C36</f>
        <v>103544000</v>
      </c>
      <c r="D40" s="588">
        <f>+D35+D36</f>
        <v>104177935</v>
      </c>
      <c r="E40" s="559">
        <f>+E35+E36</f>
        <v>95252113</v>
      </c>
    </row>
    <row r="41" spans="1:5" s="315" customFormat="1" ht="12" customHeight="1">
      <c r="A41" s="496"/>
      <c r="B41" s="497"/>
      <c r="C41" s="512"/>
      <c r="D41" s="512"/>
      <c r="E41" s="512"/>
    </row>
    <row r="42" spans="1:5" ht="12" customHeight="1" thickBot="1">
      <c r="A42" s="498"/>
      <c r="B42" s="499"/>
      <c r="C42" s="513"/>
      <c r="D42" s="513"/>
      <c r="E42" s="513"/>
    </row>
    <row r="43" spans="1:5" ht="12" customHeight="1" thickBot="1">
      <c r="A43" s="863" t="s">
        <v>43</v>
      </c>
      <c r="B43" s="864"/>
      <c r="C43" s="864"/>
      <c r="D43" s="864"/>
      <c r="E43" s="865"/>
    </row>
    <row r="44" spans="1:5" ht="12" customHeight="1" thickBot="1">
      <c r="A44" s="551" t="s">
        <v>7</v>
      </c>
      <c r="B44" s="360" t="s">
        <v>566</v>
      </c>
      <c r="C44" s="419">
        <f>SUM(C45:C49)</f>
        <v>103544000</v>
      </c>
      <c r="D44" s="419">
        <f>SUM(D45:D49)</f>
        <v>103758736</v>
      </c>
      <c r="E44" s="558">
        <f>SUM(E45:E49)</f>
        <v>97980577</v>
      </c>
    </row>
    <row r="45" spans="1:5" ht="12" customHeight="1">
      <c r="A45" s="564" t="s">
        <v>71</v>
      </c>
      <c r="B45" s="341" t="s">
        <v>37</v>
      </c>
      <c r="C45" s="103">
        <v>67835000</v>
      </c>
      <c r="D45" s="103">
        <v>67714639</v>
      </c>
      <c r="E45" s="545">
        <v>66234120</v>
      </c>
    </row>
    <row r="46" spans="1:5" ht="12" customHeight="1">
      <c r="A46" s="564" t="s">
        <v>72</v>
      </c>
      <c r="B46" s="340" t="s">
        <v>133</v>
      </c>
      <c r="C46" s="413">
        <v>18316000</v>
      </c>
      <c r="D46" s="413">
        <v>18436361</v>
      </c>
      <c r="E46" s="569">
        <v>18318339</v>
      </c>
    </row>
    <row r="47" spans="1:5" ht="12" customHeight="1">
      <c r="A47" s="564" t="s">
        <v>73</v>
      </c>
      <c r="B47" s="340" t="s">
        <v>100</v>
      </c>
      <c r="C47" s="413">
        <v>17393000</v>
      </c>
      <c r="D47" s="413">
        <v>17607736</v>
      </c>
      <c r="E47" s="569">
        <v>13428118</v>
      </c>
    </row>
    <row r="48" spans="1:5" s="315" customFormat="1" ht="12" customHeight="1">
      <c r="A48" s="564" t="s">
        <v>74</v>
      </c>
      <c r="B48" s="340" t="s">
        <v>134</v>
      </c>
      <c r="C48" s="413"/>
      <c r="D48" s="413"/>
      <c r="E48" s="569"/>
    </row>
    <row r="49" spans="1:5" ht="12" customHeight="1" thickBot="1">
      <c r="A49" s="564" t="s">
        <v>107</v>
      </c>
      <c r="B49" s="340" t="s">
        <v>135</v>
      </c>
      <c r="C49" s="413"/>
      <c r="D49" s="413"/>
      <c r="E49" s="569"/>
    </row>
    <row r="50" spans="1:5" ht="12" customHeight="1" thickBot="1">
      <c r="A50" s="551" t="s">
        <v>8</v>
      </c>
      <c r="B50" s="360" t="s">
        <v>567</v>
      </c>
      <c r="C50" s="419">
        <f>SUM(C51:C53)</f>
        <v>0</v>
      </c>
      <c r="D50" s="419">
        <f>SUM(D51:D53)</f>
        <v>419199</v>
      </c>
      <c r="E50" s="558">
        <f>SUM(E51:E53)</f>
        <v>419199</v>
      </c>
    </row>
    <row r="51" spans="1:5" ht="12" customHeight="1">
      <c r="A51" s="564" t="s">
        <v>77</v>
      </c>
      <c r="B51" s="341" t="s">
        <v>155</v>
      </c>
      <c r="C51" s="103"/>
      <c r="D51" s="103">
        <v>419199</v>
      </c>
      <c r="E51" s="545">
        <v>419199</v>
      </c>
    </row>
    <row r="52" spans="1:5" ht="12" customHeight="1">
      <c r="A52" s="564" t="s">
        <v>78</v>
      </c>
      <c r="B52" s="340" t="s">
        <v>137</v>
      </c>
      <c r="C52" s="413"/>
      <c r="D52" s="413"/>
      <c r="E52" s="569"/>
    </row>
    <row r="53" spans="1:5" ht="15" customHeight="1">
      <c r="A53" s="564" t="s">
        <v>79</v>
      </c>
      <c r="B53" s="340" t="s">
        <v>44</v>
      </c>
      <c r="C53" s="413"/>
      <c r="D53" s="413"/>
      <c r="E53" s="569"/>
    </row>
    <row r="54" spans="1:5" ht="13.5" thickBot="1">
      <c r="A54" s="564" t="s">
        <v>80</v>
      </c>
      <c r="B54" s="340" t="s">
        <v>673</v>
      </c>
      <c r="C54" s="413"/>
      <c r="D54" s="413"/>
      <c r="E54" s="569"/>
    </row>
    <row r="55" spans="1:5" ht="15" customHeight="1" thickBot="1">
      <c r="A55" s="551" t="s">
        <v>9</v>
      </c>
      <c r="B55" s="555" t="s">
        <v>568</v>
      </c>
      <c r="C55" s="109">
        <f>+C44+C50</f>
        <v>103544000</v>
      </c>
      <c r="D55" s="109">
        <f>+D44+D50</f>
        <v>104177935</v>
      </c>
      <c r="E55" s="559">
        <f>+E44+E50</f>
        <v>98399776</v>
      </c>
    </row>
    <row r="56" spans="1:5" ht="13.5" thickBot="1">
      <c r="C56" s="560"/>
      <c r="D56" s="560"/>
      <c r="E56" s="560"/>
    </row>
    <row r="57" spans="1:5" ht="13.5" thickBot="1">
      <c r="A57" s="647" t="s">
        <v>729</v>
      </c>
      <c r="B57" s="648"/>
      <c r="C57" s="113"/>
      <c r="D57" s="113"/>
      <c r="E57" s="549">
        <v>29</v>
      </c>
    </row>
    <row r="58" spans="1:5" ht="13.5" thickBot="1">
      <c r="A58" s="649" t="s">
        <v>728</v>
      </c>
      <c r="B58" s="650"/>
      <c r="C58" s="113"/>
      <c r="D58" s="113"/>
      <c r="E58" s="549"/>
    </row>
  </sheetData>
  <sheetProtection formatCells="0"/>
  <mergeCells count="4">
    <mergeCell ref="B2:D2"/>
    <mergeCell ref="B3:D3"/>
    <mergeCell ref="A7:E7"/>
    <mergeCell ref="A43:E43"/>
  </mergeCells>
  <phoneticPr fontId="27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I161"/>
  <sheetViews>
    <sheetView view="pageLayout" topLeftCell="A124" zoomScaleNormal="100" zoomScaleSheetLayoutView="100" workbookViewId="0">
      <selection activeCell="E150" sqref="E150"/>
    </sheetView>
  </sheetViews>
  <sheetFormatPr defaultRowHeight="15.75"/>
  <cols>
    <col min="1" max="1" width="9.5" style="381" customWidth="1"/>
    <col min="2" max="2" width="60.83203125" style="381" customWidth="1"/>
    <col min="3" max="5" width="15.83203125" style="382" customWidth="1"/>
    <col min="6" max="6" width="9.33203125" style="392"/>
    <col min="7" max="7" width="15.5" style="392" bestFit="1" customWidth="1"/>
    <col min="8" max="8" width="10.33203125" style="392" bestFit="1" customWidth="1"/>
    <col min="9" max="16384" width="9.33203125" style="392"/>
  </cols>
  <sheetData>
    <row r="1" spans="1:5" ht="15.95" customHeight="1">
      <c r="A1" s="823" t="s">
        <v>4</v>
      </c>
      <c r="B1" s="823"/>
      <c r="C1" s="823"/>
      <c r="D1" s="823"/>
      <c r="E1" s="823"/>
    </row>
    <row r="2" spans="1:5" ht="15.95" customHeight="1" thickBot="1">
      <c r="A2" s="45" t="s">
        <v>111</v>
      </c>
      <c r="B2" s="45"/>
      <c r="C2" s="379"/>
      <c r="D2" s="379"/>
      <c r="E2" s="379" t="s">
        <v>752</v>
      </c>
    </row>
    <row r="3" spans="1:5" ht="15.95" customHeight="1">
      <c r="A3" s="824" t="s">
        <v>59</v>
      </c>
      <c r="B3" s="826" t="s">
        <v>6</v>
      </c>
      <c r="C3" s="828" t="str">
        <f>+'1.1.sz.mell.'!C3:E3</f>
        <v>2016. évi</v>
      </c>
      <c r="D3" s="828"/>
      <c r="E3" s="829"/>
    </row>
    <row r="4" spans="1:5" ht="38.1" customHeight="1" thickBot="1">
      <c r="A4" s="825"/>
      <c r="B4" s="827"/>
      <c r="C4" s="47" t="s">
        <v>178</v>
      </c>
      <c r="D4" s="47" t="s">
        <v>183</v>
      </c>
      <c r="E4" s="48" t="s">
        <v>184</v>
      </c>
    </row>
    <row r="5" spans="1:5" s="393" customFormat="1" ht="12" customHeight="1" thickBot="1">
      <c r="A5" s="357" t="s">
        <v>409</v>
      </c>
      <c r="B5" s="358" t="s">
        <v>410</v>
      </c>
      <c r="C5" s="358" t="s">
        <v>411</v>
      </c>
      <c r="D5" s="358" t="s">
        <v>412</v>
      </c>
      <c r="E5" s="404" t="s">
        <v>413</v>
      </c>
    </row>
    <row r="6" spans="1:5" s="394" customFormat="1" ht="12" customHeight="1" thickBot="1">
      <c r="A6" s="352" t="s">
        <v>7</v>
      </c>
      <c r="B6" s="353" t="s">
        <v>301</v>
      </c>
      <c r="C6" s="384">
        <f>SUM(C7:C12)</f>
        <v>840689736</v>
      </c>
      <c r="D6" s="384">
        <f>SUM(D7:D12)</f>
        <v>525964684</v>
      </c>
      <c r="E6" s="367">
        <f>SUM(E7:E12)</f>
        <v>520552427</v>
      </c>
    </row>
    <row r="7" spans="1:5" s="394" customFormat="1" ht="12" customHeight="1">
      <c r="A7" s="347" t="s">
        <v>71</v>
      </c>
      <c r="B7" s="395" t="s">
        <v>302</v>
      </c>
      <c r="C7" s="386">
        <v>165437120</v>
      </c>
      <c r="D7" s="386">
        <v>192926722</v>
      </c>
      <c r="E7" s="369">
        <f>+'6.2. sz. mell'!E9</f>
        <v>192926722</v>
      </c>
    </row>
    <row r="8" spans="1:5" s="394" customFormat="1" ht="12" customHeight="1">
      <c r="A8" s="346" t="s">
        <v>72</v>
      </c>
      <c r="B8" s="396" t="s">
        <v>303</v>
      </c>
      <c r="C8" s="385">
        <v>109277466</v>
      </c>
      <c r="D8" s="385">
        <v>109277466</v>
      </c>
      <c r="E8" s="369">
        <f>+'6.2. sz. mell'!E10</f>
        <v>110520500</v>
      </c>
    </row>
    <row r="9" spans="1:5" s="394" customFormat="1" ht="12" customHeight="1">
      <c r="A9" s="346" t="s">
        <v>73</v>
      </c>
      <c r="B9" s="396" t="s">
        <v>304</v>
      </c>
      <c r="C9" s="385">
        <v>176005244</v>
      </c>
      <c r="D9" s="385">
        <v>175654694</v>
      </c>
      <c r="E9" s="369">
        <f>+'6.2. sz. mell'!E11</f>
        <v>178590993</v>
      </c>
    </row>
    <row r="10" spans="1:5" s="394" customFormat="1" ht="12" customHeight="1">
      <c r="A10" s="346" t="s">
        <v>74</v>
      </c>
      <c r="B10" s="396" t="s">
        <v>305</v>
      </c>
      <c r="C10" s="385">
        <v>8016480</v>
      </c>
      <c r="D10" s="385">
        <v>8016480</v>
      </c>
      <c r="E10" s="369">
        <f>+'6.2. sz. mell'!E12</f>
        <v>8395763</v>
      </c>
    </row>
    <row r="11" spans="1:5" s="394" customFormat="1" ht="12" customHeight="1">
      <c r="A11" s="346" t="s">
        <v>107</v>
      </c>
      <c r="B11" s="396" t="s">
        <v>306</v>
      </c>
      <c r="C11" s="385">
        <f>376281448+5671978</f>
        <v>381953426</v>
      </c>
      <c r="D11" s="385">
        <f>40067891+21431</f>
        <v>40089322</v>
      </c>
      <c r="E11" s="369">
        <f>+'6.2. sz. mell'!E13</f>
        <v>0</v>
      </c>
    </row>
    <row r="12" spans="1:5" s="394" customFormat="1" ht="12" customHeight="1" thickBot="1">
      <c r="A12" s="348" t="s">
        <v>75</v>
      </c>
      <c r="B12" s="397" t="s">
        <v>307</v>
      </c>
      <c r="C12" s="387"/>
      <c r="D12" s="387"/>
      <c r="E12" s="369">
        <f>+'6.2. sz. mell'!E14</f>
        <v>30118449</v>
      </c>
    </row>
    <row r="13" spans="1:5" s="394" customFormat="1" ht="12" customHeight="1" thickBot="1">
      <c r="A13" s="352" t="s">
        <v>8</v>
      </c>
      <c r="B13" s="374" t="s">
        <v>308</v>
      </c>
      <c r="C13" s="384">
        <f>SUM(C14:C18)</f>
        <v>0</v>
      </c>
      <c r="D13" s="384">
        <f>SUM(D14:D18)</f>
        <v>363394652</v>
      </c>
      <c r="E13" s="378">
        <f>SUM(E14:E18)</f>
        <v>400092504</v>
      </c>
    </row>
    <row r="14" spans="1:5" s="394" customFormat="1" ht="12" customHeight="1">
      <c r="A14" s="347" t="s">
        <v>77</v>
      </c>
      <c r="B14" s="395" t="s">
        <v>309</v>
      </c>
      <c r="C14" s="386"/>
      <c r="D14" s="386"/>
      <c r="E14" s="369">
        <f>+'6.2. sz. mell'!E16</f>
        <v>0</v>
      </c>
    </row>
    <row r="15" spans="1:5" s="394" customFormat="1" ht="12" customHeight="1">
      <c r="A15" s="346" t="s">
        <v>78</v>
      </c>
      <c r="B15" s="396" t="s">
        <v>310</v>
      </c>
      <c r="C15" s="385"/>
      <c r="D15" s="385"/>
      <c r="E15" s="369">
        <f>+'6.2. sz. mell'!E17</f>
        <v>0</v>
      </c>
    </row>
    <row r="16" spans="1:5" s="394" customFormat="1" ht="12" customHeight="1">
      <c r="A16" s="346" t="s">
        <v>79</v>
      </c>
      <c r="B16" s="396" t="s">
        <v>311</v>
      </c>
      <c r="C16" s="385"/>
      <c r="D16" s="385"/>
      <c r="E16" s="369">
        <f>+'6.2. sz. mell'!E18</f>
        <v>0</v>
      </c>
    </row>
    <row r="17" spans="1:5" s="394" customFormat="1" ht="12" customHeight="1">
      <c r="A17" s="346" t="s">
        <v>80</v>
      </c>
      <c r="B17" s="396" t="s">
        <v>312</v>
      </c>
      <c r="C17" s="385"/>
      <c r="D17" s="385"/>
      <c r="E17" s="369">
        <f>+'6.2. sz. mell'!E19</f>
        <v>0</v>
      </c>
    </row>
    <row r="18" spans="1:5" s="394" customFormat="1" ht="12" customHeight="1">
      <c r="A18" s="346" t="s">
        <v>81</v>
      </c>
      <c r="B18" s="396" t="s">
        <v>313</v>
      </c>
      <c r="C18" s="385"/>
      <c r="D18" s="385">
        <v>363394652</v>
      </c>
      <c r="E18" s="369">
        <f>+'6.2. sz. mell'!E20+'8.2.1. sz. mell.'!E19</f>
        <v>400092504</v>
      </c>
    </row>
    <row r="19" spans="1:5" s="394" customFormat="1" ht="12" customHeight="1" thickBot="1">
      <c r="A19" s="348" t="s">
        <v>88</v>
      </c>
      <c r="B19" s="397" t="s">
        <v>314</v>
      </c>
      <c r="C19" s="387"/>
      <c r="D19" s="387"/>
      <c r="E19" s="695">
        <f>+'6.2. sz. mell'!E21</f>
        <v>0</v>
      </c>
    </row>
    <row r="20" spans="1:5" s="394" customFormat="1" ht="12" customHeight="1" thickBot="1">
      <c r="A20" s="352" t="s">
        <v>9</v>
      </c>
      <c r="B20" s="353" t="s">
        <v>315</v>
      </c>
      <c r="C20" s="384">
        <f>SUM(C21:C25)</f>
        <v>0</v>
      </c>
      <c r="D20" s="384">
        <f>SUM(D21:D25)</f>
        <v>25271550</v>
      </c>
      <c r="E20" s="696">
        <f>+'6.2. sz. mell'!E22</f>
        <v>54062786</v>
      </c>
    </row>
    <row r="21" spans="1:5" s="394" customFormat="1" ht="12" customHeight="1">
      <c r="A21" s="347" t="s">
        <v>60</v>
      </c>
      <c r="B21" s="395" t="s">
        <v>316</v>
      </c>
      <c r="C21" s="386"/>
      <c r="D21" s="386">
        <v>15229000</v>
      </c>
      <c r="E21" s="369">
        <f>+'6.2. sz. mell'!E23</f>
        <v>15229000</v>
      </c>
    </row>
    <row r="22" spans="1:5" s="394" customFormat="1" ht="12" customHeight="1">
      <c r="A22" s="346" t="s">
        <v>61</v>
      </c>
      <c r="B22" s="396" t="s">
        <v>317</v>
      </c>
      <c r="C22" s="385"/>
      <c r="D22" s="385"/>
      <c r="E22" s="369">
        <f>+'6.2. sz. mell'!E24</f>
        <v>0</v>
      </c>
    </row>
    <row r="23" spans="1:5" s="394" customFormat="1" ht="12" customHeight="1">
      <c r="A23" s="346" t="s">
        <v>62</v>
      </c>
      <c r="B23" s="396" t="s">
        <v>318</v>
      </c>
      <c r="C23" s="385"/>
      <c r="D23" s="385"/>
      <c r="E23" s="369">
        <f>+'6.2. sz. mell'!E25</f>
        <v>0</v>
      </c>
    </row>
    <row r="24" spans="1:5" s="394" customFormat="1" ht="12" customHeight="1">
      <c r="A24" s="346" t="s">
        <v>63</v>
      </c>
      <c r="B24" s="396" t="s">
        <v>319</v>
      </c>
      <c r="C24" s="385"/>
      <c r="D24" s="385"/>
      <c r="E24" s="369">
        <f>+'6.2. sz. mell'!E26</f>
        <v>0</v>
      </c>
    </row>
    <row r="25" spans="1:5" s="394" customFormat="1" ht="12" customHeight="1">
      <c r="A25" s="346" t="s">
        <v>121</v>
      </c>
      <c r="B25" s="396" t="s">
        <v>320</v>
      </c>
      <c r="C25" s="385"/>
      <c r="D25" s="385">
        <v>10042550</v>
      </c>
      <c r="E25" s="369">
        <f>+'6.2. sz. mell'!E27</f>
        <v>38833786</v>
      </c>
    </row>
    <row r="26" spans="1:5" s="394" customFormat="1" ht="12" customHeight="1" thickBot="1">
      <c r="A26" s="348" t="s">
        <v>122</v>
      </c>
      <c r="B26" s="397" t="s">
        <v>321</v>
      </c>
      <c r="C26" s="387"/>
      <c r="D26" s="387"/>
      <c r="E26" s="695">
        <f>+'6.2. sz. mell'!E28</f>
        <v>0</v>
      </c>
    </row>
    <row r="27" spans="1:5" s="394" customFormat="1" ht="12" customHeight="1" thickBot="1">
      <c r="A27" s="352" t="s">
        <v>123</v>
      </c>
      <c r="B27" s="353" t="s">
        <v>718</v>
      </c>
      <c r="C27" s="390">
        <f>SUM(C28:C33)+50000</f>
        <v>84090000</v>
      </c>
      <c r="D27" s="390">
        <f>SUM(D28:D33)+17962</f>
        <v>84057962</v>
      </c>
      <c r="E27" s="696">
        <f>+'6.2. sz. mell'!E29+'7.2. sz. mell'!E24</f>
        <v>95890984</v>
      </c>
    </row>
    <row r="28" spans="1:5" s="394" customFormat="1" ht="12" customHeight="1">
      <c r="A28" s="347" t="s">
        <v>322</v>
      </c>
      <c r="B28" s="395" t="s">
        <v>722</v>
      </c>
      <c r="C28" s="386"/>
      <c r="D28" s="386"/>
      <c r="E28" s="369">
        <f>+'6.2. sz. mell'!E30</f>
        <v>0</v>
      </c>
    </row>
    <row r="29" spans="1:5" s="394" customFormat="1" ht="12" customHeight="1">
      <c r="A29" s="346" t="s">
        <v>323</v>
      </c>
      <c r="B29" s="396" t="s">
        <v>723</v>
      </c>
      <c r="C29" s="385"/>
      <c r="D29" s="385"/>
      <c r="E29" s="369">
        <f>+'6.2. sz. mell'!E31</f>
        <v>0</v>
      </c>
    </row>
    <row r="30" spans="1:5" s="394" customFormat="1" ht="12" customHeight="1">
      <c r="A30" s="346" t="s">
        <v>324</v>
      </c>
      <c r="B30" s="396" t="s">
        <v>724</v>
      </c>
      <c r="C30" s="385">
        <v>55300000</v>
      </c>
      <c r="D30" s="385">
        <v>55300000</v>
      </c>
      <c r="E30" s="369">
        <f>+'6.2. sz. mell'!E32</f>
        <v>64910302</v>
      </c>
    </row>
    <row r="31" spans="1:5" s="394" customFormat="1" ht="12" customHeight="1">
      <c r="A31" s="346" t="s">
        <v>737</v>
      </c>
      <c r="B31" s="396" t="s">
        <v>725</v>
      </c>
      <c r="C31" s="385">
        <v>40000</v>
      </c>
      <c r="D31" s="385">
        <v>40000</v>
      </c>
      <c r="E31" s="369">
        <f>+'6.2. sz. mell'!E33</f>
        <v>25200</v>
      </c>
    </row>
    <row r="32" spans="1:5" s="394" customFormat="1" ht="12" customHeight="1">
      <c r="A32" s="346" t="s">
        <v>719</v>
      </c>
      <c r="B32" s="396" t="s">
        <v>736</v>
      </c>
      <c r="C32" s="385">
        <v>13500000</v>
      </c>
      <c r="D32" s="385">
        <v>13500000</v>
      </c>
      <c r="E32" s="369">
        <f>+'6.2. sz. mell'!E34</f>
        <v>13426610</v>
      </c>
    </row>
    <row r="33" spans="1:5" s="394" customFormat="1" ht="12" customHeight="1" thickBot="1">
      <c r="A33" s="348" t="s">
        <v>721</v>
      </c>
      <c r="B33" s="376" t="s">
        <v>326</v>
      </c>
      <c r="C33" s="387">
        <v>15200000</v>
      </c>
      <c r="D33" s="387">
        <v>15200000</v>
      </c>
      <c r="E33" s="369">
        <f>+'6.2. sz. mell'!E35</f>
        <v>17510910</v>
      </c>
    </row>
    <row r="34" spans="1:5" s="394" customFormat="1" ht="12" customHeight="1" thickBot="1">
      <c r="A34" s="352" t="s">
        <v>11</v>
      </c>
      <c r="B34" s="353" t="s">
        <v>327</v>
      </c>
      <c r="C34" s="384">
        <f>SUM(C35:C44)</f>
        <v>73723100</v>
      </c>
      <c r="D34" s="384">
        <f>SUM(D35:D44)</f>
        <v>84912621</v>
      </c>
      <c r="E34" s="367">
        <f>SUM(E35:E44)</f>
        <v>113267286</v>
      </c>
    </row>
    <row r="35" spans="1:5" s="394" customFormat="1" ht="12" customHeight="1">
      <c r="A35" s="347" t="s">
        <v>64</v>
      </c>
      <c r="B35" s="395" t="s">
        <v>328</v>
      </c>
      <c r="C35" s="386">
        <v>7087000</v>
      </c>
      <c r="D35" s="386">
        <v>8587000</v>
      </c>
      <c r="E35" s="369">
        <f>+'6.2. sz. mell'!E37+'7.2. sz. mell'!E9+'8.1.1. sz. mell.'!E9+'8.2.1. sz. mell.'!E9+'8.3.1. sz. mell.'!E9</f>
        <v>2205925</v>
      </c>
    </row>
    <row r="36" spans="1:5" s="394" customFormat="1" ht="12" customHeight="1">
      <c r="A36" s="346" t="s">
        <v>65</v>
      </c>
      <c r="B36" s="396" t="s">
        <v>329</v>
      </c>
      <c r="C36" s="385">
        <v>38338100</v>
      </c>
      <c r="D36" s="385">
        <v>43654324</v>
      </c>
      <c r="E36" s="369">
        <f>+'6.2. sz. mell'!E38+'7.2. sz. mell'!E10+'8.1.1. sz. mell.'!E10+'8.2.1. sz. mell.'!E10+'8.3.1. sz. mell.'!E10</f>
        <v>49507494</v>
      </c>
    </row>
    <row r="37" spans="1:5" s="394" customFormat="1" ht="12" customHeight="1">
      <c r="A37" s="346" t="s">
        <v>66</v>
      </c>
      <c r="B37" s="396" t="s">
        <v>330</v>
      </c>
      <c r="C37" s="385">
        <v>2333000</v>
      </c>
      <c r="D37" s="385">
        <v>1890000</v>
      </c>
      <c r="E37" s="369">
        <f>+'6.2. sz. mell'!E39+'7.2. sz. mell'!E11+'8.1.1. sz. mell.'!E11+'8.2.1. sz. mell.'!E11+'8.3.1. sz. mell.'!E11</f>
        <v>1765623</v>
      </c>
    </row>
    <row r="38" spans="1:5" s="394" customFormat="1" ht="12" customHeight="1">
      <c r="A38" s="346" t="s">
        <v>125</v>
      </c>
      <c r="B38" s="396" t="s">
        <v>331</v>
      </c>
      <c r="C38" s="385">
        <v>3500000</v>
      </c>
      <c r="D38" s="385">
        <v>3500000</v>
      </c>
      <c r="E38" s="369">
        <f>+'6.2. sz. mell'!E40+'7.2. sz. mell'!E12+'8.1.1. sz. mell.'!E12+'8.2.1. sz. mell.'!E12+'8.3.1. sz. mell.'!E12</f>
        <v>0</v>
      </c>
    </row>
    <row r="39" spans="1:5" s="394" customFormat="1" ht="12" customHeight="1">
      <c r="A39" s="346" t="s">
        <v>126</v>
      </c>
      <c r="B39" s="396" t="s">
        <v>332</v>
      </c>
      <c r="C39" s="385">
        <v>4868000</v>
      </c>
      <c r="D39" s="385">
        <v>4868000</v>
      </c>
      <c r="E39" s="369">
        <f>+'6.2. sz. mell'!E41+'7.2. sz. mell'!E13+'8.1.1. sz. mell.'!E13+'8.2.1. sz. mell.'!E13+'8.3.1. sz. mell.'!E13</f>
        <v>23368586</v>
      </c>
    </row>
    <row r="40" spans="1:5" s="394" customFormat="1" ht="12" customHeight="1">
      <c r="A40" s="346" t="s">
        <v>127</v>
      </c>
      <c r="B40" s="396" t="s">
        <v>333</v>
      </c>
      <c r="C40" s="385">
        <v>14597000</v>
      </c>
      <c r="D40" s="385">
        <v>19463571</v>
      </c>
      <c r="E40" s="369">
        <f>+'6.2. sz. mell'!E42+'7.2. sz. mell'!E14+'8.1.1. sz. mell.'!E14+'8.2.1. sz. mell.'!E14+'8.3.1. sz. mell.'!E14</f>
        <v>20096654</v>
      </c>
    </row>
    <row r="41" spans="1:5" s="394" customFormat="1" ht="12" customHeight="1">
      <c r="A41" s="346" t="s">
        <v>128</v>
      </c>
      <c r="B41" s="396" t="s">
        <v>334</v>
      </c>
      <c r="C41" s="385">
        <v>3000000</v>
      </c>
      <c r="D41" s="385">
        <v>2775000</v>
      </c>
      <c r="E41" s="369">
        <f>+'6.2. sz. mell'!E43+'7.2. sz. mell'!E15+'8.1.1. sz. mell.'!E15+'8.2.1. sz. mell.'!E15+'8.3.1. sz. mell.'!E15</f>
        <v>2775000</v>
      </c>
    </row>
    <row r="42" spans="1:5" s="394" customFormat="1" ht="12" customHeight="1">
      <c r="A42" s="346" t="s">
        <v>129</v>
      </c>
      <c r="B42" s="396" t="s">
        <v>335</v>
      </c>
      <c r="C42" s="385"/>
      <c r="D42" s="385">
        <v>310</v>
      </c>
      <c r="E42" s="369">
        <f>+'6.2. sz. mell'!E44+'7.2. sz. mell'!E16+'8.1.1. sz. mell.'!E16+'8.2.1. sz. mell.'!E16+'8.3.1. sz. mell.'!E16</f>
        <v>9630</v>
      </c>
    </row>
    <row r="43" spans="1:5" s="394" customFormat="1" ht="12" customHeight="1">
      <c r="A43" s="346" t="s">
        <v>336</v>
      </c>
      <c r="B43" s="396" t="s">
        <v>337</v>
      </c>
      <c r="C43" s="388"/>
      <c r="D43" s="388"/>
      <c r="E43" s="369">
        <f>+'6.2. sz. mell'!E45+'7.2. sz. mell'!E17+'8.1.1. sz. mell.'!E17+'8.2.1. sz. mell.'!E17+'8.3.1. sz. mell.'!E17</f>
        <v>0</v>
      </c>
    </row>
    <row r="44" spans="1:5" s="394" customFormat="1" ht="12" customHeight="1" thickBot="1">
      <c r="A44" s="348" t="s">
        <v>338</v>
      </c>
      <c r="B44" s="397" t="s">
        <v>339</v>
      </c>
      <c r="C44" s="389"/>
      <c r="D44" s="389">
        <v>174416</v>
      </c>
      <c r="E44" s="369">
        <f>+'6.2. sz. mell'!E46+'7.2. sz. mell'!E18+'8.1.1. sz. mell.'!E18+'8.2.1. sz. mell.'!E18+'8.3.1. sz. mell.'!E18</f>
        <v>13538374</v>
      </c>
    </row>
    <row r="45" spans="1:5" s="394" customFormat="1" ht="12" customHeight="1" thickBot="1">
      <c r="A45" s="352" t="s">
        <v>12</v>
      </c>
      <c r="B45" s="353" t="s">
        <v>340</v>
      </c>
      <c r="C45" s="384">
        <f>SUM(C46:C50)</f>
        <v>12712000</v>
      </c>
      <c r="D45" s="384">
        <f>SUM(D46:D50)</f>
        <v>36474062</v>
      </c>
      <c r="E45" s="378">
        <f>SUM(E46:E50)</f>
        <v>29621577</v>
      </c>
    </row>
    <row r="46" spans="1:5" s="394" customFormat="1" ht="12" customHeight="1">
      <c r="A46" s="347" t="s">
        <v>67</v>
      </c>
      <c r="B46" s="395" t="s">
        <v>341</v>
      </c>
      <c r="C46" s="405"/>
      <c r="D46" s="405"/>
      <c r="E46" s="369">
        <f>+'6.2. sz. mell'!E48+'7.2. sz. mell'!E20+'8.1.1. sz. mell.'!E20+'8.2.1. sz. mell.'!E20+'8.3.1. sz. mell.'!E20</f>
        <v>0</v>
      </c>
    </row>
    <row r="47" spans="1:5" s="394" customFormat="1" ht="12" customHeight="1">
      <c r="A47" s="346" t="s">
        <v>68</v>
      </c>
      <c r="B47" s="396" t="s">
        <v>342</v>
      </c>
      <c r="C47" s="388">
        <v>10712000</v>
      </c>
      <c r="D47" s="388">
        <v>32978000</v>
      </c>
      <c r="E47" s="369">
        <f>+'6.2. sz. mell'!E49+'7.2. sz. mell'!E21+'8.1.1. sz. mell.'!E21+'8.2.1. sz. mell.'!E21+'8.3.1. sz. mell.'!E21</f>
        <v>28120916</v>
      </c>
    </row>
    <row r="48" spans="1:5" s="394" customFormat="1" ht="12" customHeight="1">
      <c r="A48" s="346" t="s">
        <v>343</v>
      </c>
      <c r="B48" s="396" t="s">
        <v>344</v>
      </c>
      <c r="C48" s="388">
        <v>2000000</v>
      </c>
      <c r="D48" s="388">
        <v>3496062</v>
      </c>
      <c r="E48" s="369">
        <f>+'6.2. sz. mell'!E50+'7.2. sz. mell'!E32+'8.1.1. sz. mell.'!E32+'8.2.1. sz. mell.'!E32+'8.3.1. sz. mell.'!E32</f>
        <v>1500661</v>
      </c>
    </row>
    <row r="49" spans="1:8" s="394" customFormat="1" ht="12" customHeight="1">
      <c r="A49" s="346" t="s">
        <v>345</v>
      </c>
      <c r="B49" s="396" t="s">
        <v>346</v>
      </c>
      <c r="C49" s="388"/>
      <c r="D49" s="388"/>
      <c r="E49" s="369">
        <f>+'6.2. sz. mell'!E51+'7.2. sz. mell'!E33+'8.1.1. sz. mell.'!E33+'8.2.1. sz. mell.'!E33+'8.3.1. sz. mell.'!E33</f>
        <v>0</v>
      </c>
    </row>
    <row r="50" spans="1:8" s="394" customFormat="1" ht="12" customHeight="1" thickBot="1">
      <c r="A50" s="348" t="s">
        <v>347</v>
      </c>
      <c r="B50" s="397" t="s">
        <v>348</v>
      </c>
      <c r="C50" s="389"/>
      <c r="D50" s="389"/>
      <c r="E50" s="369">
        <f>+'6.2. sz. mell'!E52+'7.2. sz. mell'!E34+'8.1.1. sz. mell.'!E34+'8.2.1. sz. mell.'!E34+'8.3.1. sz. mell.'!E34</f>
        <v>0</v>
      </c>
    </row>
    <row r="51" spans="1:8" s="394" customFormat="1" ht="17.25" customHeight="1" thickBot="1">
      <c r="A51" s="352" t="s">
        <v>130</v>
      </c>
      <c r="B51" s="353" t="s">
        <v>349</v>
      </c>
      <c r="C51" s="384">
        <f>SUM(C52:C54)</f>
        <v>0</v>
      </c>
      <c r="D51" s="384">
        <f>SUM(D52:D54)</f>
        <v>0</v>
      </c>
      <c r="E51" s="378">
        <f>SUM(E52:E54)</f>
        <v>0</v>
      </c>
    </row>
    <row r="52" spans="1:8" s="394" customFormat="1" ht="12" customHeight="1">
      <c r="A52" s="347" t="s">
        <v>69</v>
      </c>
      <c r="B52" s="395" t="s">
        <v>350</v>
      </c>
      <c r="C52" s="386"/>
      <c r="D52" s="386"/>
      <c r="E52" s="369"/>
    </row>
    <row r="53" spans="1:8" s="394" customFormat="1" ht="12" customHeight="1">
      <c r="A53" s="346" t="s">
        <v>70</v>
      </c>
      <c r="B53" s="396" t="s">
        <v>351</v>
      </c>
      <c r="C53" s="385"/>
      <c r="D53" s="385"/>
      <c r="E53" s="369"/>
    </row>
    <row r="54" spans="1:8" s="394" customFormat="1" ht="12" customHeight="1">
      <c r="A54" s="346" t="s">
        <v>352</v>
      </c>
      <c r="B54" s="396" t="s">
        <v>353</v>
      </c>
      <c r="C54" s="385"/>
      <c r="D54" s="385"/>
      <c r="E54" s="369">
        <f>+'6.2. sz. mell'!E56+'7.2. sz. mell'!E38+'8.1.1. sz. mell.'!E38+'8.2.1. sz. mell.'!E38+'8.3.1. sz. mell.'!E38</f>
        <v>0</v>
      </c>
    </row>
    <row r="55" spans="1:8" s="394" customFormat="1" ht="12" customHeight="1" thickBot="1">
      <c r="A55" s="348" t="s">
        <v>354</v>
      </c>
      <c r="B55" s="397" t="s">
        <v>355</v>
      </c>
      <c r="C55" s="387"/>
      <c r="D55" s="387"/>
      <c r="E55" s="369"/>
    </row>
    <row r="56" spans="1:8" s="394" customFormat="1" ht="12" customHeight="1" thickBot="1">
      <c r="A56" s="352" t="s">
        <v>14</v>
      </c>
      <c r="B56" s="374" t="s">
        <v>356</v>
      </c>
      <c r="C56" s="384">
        <f>SUM(C57:C59)</f>
        <v>17810000</v>
      </c>
      <c r="D56" s="384">
        <f>SUM(D57:D59)</f>
        <v>17810000</v>
      </c>
      <c r="E56" s="378">
        <f>SUM(E57:E59)</f>
        <v>3030600</v>
      </c>
    </row>
    <row r="57" spans="1:8" s="394" customFormat="1" ht="12" customHeight="1">
      <c r="A57" s="347" t="s">
        <v>131</v>
      </c>
      <c r="B57" s="395" t="s">
        <v>357</v>
      </c>
      <c r="C57" s="388"/>
      <c r="D57" s="388"/>
      <c r="E57" s="369">
        <f>+'6.2. sz. mell'!E59+'7.2. sz. mell'!E41+'8.1.1. sz. mell.'!E41+'8.2.1. sz. mell.'!E41+'8.3.1. sz. mell.'!E41</f>
        <v>0</v>
      </c>
    </row>
    <row r="58" spans="1:8" s="394" customFormat="1" ht="12" customHeight="1">
      <c r="A58" s="346" t="s">
        <v>132</v>
      </c>
      <c r="B58" s="396" t="s">
        <v>358</v>
      </c>
      <c r="C58" s="388">
        <v>810000</v>
      </c>
      <c r="D58" s="388">
        <v>810000</v>
      </c>
      <c r="E58" s="369">
        <f>+'6.2. sz. mell'!E60+'7.2. sz. mell'!E42+'8.1.1. sz. mell.'!E42+'8.2.1. sz. mell.'!E42+'8.3.1. sz. mell.'!E42</f>
        <v>0</v>
      </c>
    </row>
    <row r="59" spans="1:8" s="394" customFormat="1" ht="12" customHeight="1">
      <c r="A59" s="346" t="s">
        <v>157</v>
      </c>
      <c r="B59" s="396" t="s">
        <v>359</v>
      </c>
      <c r="C59" s="388">
        <v>17000000</v>
      </c>
      <c r="D59" s="388">
        <v>17000000</v>
      </c>
      <c r="E59" s="369">
        <f>+'6.2. sz. mell'!E61+'7.2. sz. mell'!E43+'8.1.1. sz. mell.'!E43+'8.2.1. sz. mell.'!E43+'8.3.1. sz. mell.'!E43</f>
        <v>3030600</v>
      </c>
    </row>
    <row r="60" spans="1:8" s="394" customFormat="1" ht="12" customHeight="1" thickBot="1">
      <c r="A60" s="348" t="s">
        <v>360</v>
      </c>
      <c r="B60" s="397" t="s">
        <v>361</v>
      </c>
      <c r="C60" s="388"/>
      <c r="D60" s="388"/>
      <c r="E60" s="369"/>
    </row>
    <row r="61" spans="1:8" s="394" customFormat="1" ht="12" customHeight="1" thickBot="1">
      <c r="A61" s="352" t="s">
        <v>15</v>
      </c>
      <c r="B61" s="353" t="s">
        <v>362</v>
      </c>
      <c r="C61" s="390">
        <f>+C6+C13+C20+C27+C34+C45+C51+C56</f>
        <v>1029024836</v>
      </c>
      <c r="D61" s="390">
        <f>+D6+D13+D20+D27+D34+D45+D51+D56</f>
        <v>1137885531</v>
      </c>
      <c r="E61" s="403">
        <f>+E6+E13+E20+E27+E34+E45+E51+E56</f>
        <v>1216518164</v>
      </c>
      <c r="H61" s="651"/>
    </row>
    <row r="62" spans="1:8" s="394" customFormat="1" ht="12" customHeight="1" thickBot="1">
      <c r="A62" s="406" t="s">
        <v>363</v>
      </c>
      <c r="B62" s="374" t="s">
        <v>364</v>
      </c>
      <c r="C62" s="384">
        <f>+C63+C64+C65</f>
        <v>45359000</v>
      </c>
      <c r="D62" s="384">
        <f>+D63+D64+D65</f>
        <v>20000000</v>
      </c>
      <c r="E62" s="367">
        <f>+E63+E64+E65</f>
        <v>0</v>
      </c>
    </row>
    <row r="63" spans="1:8" s="394" customFormat="1" ht="12" customHeight="1">
      <c r="A63" s="347" t="s">
        <v>365</v>
      </c>
      <c r="B63" s="395" t="s">
        <v>366</v>
      </c>
      <c r="C63" s="388">
        <v>45359000</v>
      </c>
      <c r="D63" s="388">
        <v>20000000</v>
      </c>
      <c r="E63" s="371"/>
    </row>
    <row r="64" spans="1:8" s="394" customFormat="1" ht="12" customHeight="1">
      <c r="A64" s="346" t="s">
        <v>367</v>
      </c>
      <c r="B64" s="396" t="s">
        <v>368</v>
      </c>
      <c r="C64" s="388"/>
      <c r="D64" s="388"/>
      <c r="E64" s="371"/>
    </row>
    <row r="65" spans="1:5" s="394" customFormat="1" ht="12" customHeight="1" thickBot="1">
      <c r="A65" s="348" t="s">
        <v>369</v>
      </c>
      <c r="B65" s="332" t="s">
        <v>414</v>
      </c>
      <c r="C65" s="388"/>
      <c r="D65" s="388"/>
      <c r="E65" s="371"/>
    </row>
    <row r="66" spans="1:5" s="394" customFormat="1" ht="12" customHeight="1" thickBot="1">
      <c r="A66" s="406" t="s">
        <v>371</v>
      </c>
      <c r="B66" s="374" t="s">
        <v>372</v>
      </c>
      <c r="C66" s="384">
        <f>+C67+C68+C69+C70</f>
        <v>0</v>
      </c>
      <c r="D66" s="384">
        <f>+D67+D68+D69+D70</f>
        <v>0</v>
      </c>
      <c r="E66" s="367">
        <f>+E67+E68+E69+E70</f>
        <v>0</v>
      </c>
    </row>
    <row r="67" spans="1:5" s="394" customFormat="1" ht="13.5" customHeight="1">
      <c r="A67" s="347" t="s">
        <v>108</v>
      </c>
      <c r="B67" s="395" t="s">
        <v>373</v>
      </c>
      <c r="C67" s="388"/>
      <c r="D67" s="388"/>
      <c r="E67" s="371"/>
    </row>
    <row r="68" spans="1:5" s="394" customFormat="1" ht="12" customHeight="1">
      <c r="A68" s="346" t="s">
        <v>109</v>
      </c>
      <c r="B68" s="396" t="s">
        <v>374</v>
      </c>
      <c r="C68" s="388"/>
      <c r="D68" s="388"/>
      <c r="E68" s="371"/>
    </row>
    <row r="69" spans="1:5" s="394" customFormat="1" ht="12" customHeight="1">
      <c r="A69" s="346" t="s">
        <v>375</v>
      </c>
      <c r="B69" s="396" t="s">
        <v>376</v>
      </c>
      <c r="C69" s="388"/>
      <c r="D69" s="388"/>
      <c r="E69" s="371"/>
    </row>
    <row r="70" spans="1:5" s="394" customFormat="1" ht="12" customHeight="1" thickBot="1">
      <c r="A70" s="348" t="s">
        <v>377</v>
      </c>
      <c r="B70" s="397" t="s">
        <v>378</v>
      </c>
      <c r="C70" s="388"/>
      <c r="D70" s="388"/>
      <c r="E70" s="371"/>
    </row>
    <row r="71" spans="1:5" s="394" customFormat="1" ht="12" customHeight="1" thickBot="1">
      <c r="A71" s="406" t="s">
        <v>379</v>
      </c>
      <c r="B71" s="374" t="s">
        <v>380</v>
      </c>
      <c r="C71" s="384">
        <f>+C72+C73</f>
        <v>40000000</v>
      </c>
      <c r="D71" s="384">
        <f>+D72+D73</f>
        <v>145162288</v>
      </c>
      <c r="E71" s="367">
        <f>+E72+E73</f>
        <v>145162288</v>
      </c>
    </row>
    <row r="72" spans="1:5" s="394" customFormat="1" ht="12" customHeight="1">
      <c r="A72" s="347" t="s">
        <v>381</v>
      </c>
      <c r="B72" s="395" t="s">
        <v>382</v>
      </c>
      <c r="C72" s="388">
        <v>40000000</v>
      </c>
      <c r="D72" s="388">
        <v>145162288</v>
      </c>
      <c r="E72" s="371">
        <f>+'6.2. sz. mell'!E74+'7.2. sz. mell'!E37+'8.1.1. sz. mell.'!E37+'8.2.1. sz. mell.'!E37+'8.3.1. sz. mell.'!E37</f>
        <v>145162288</v>
      </c>
    </row>
    <row r="73" spans="1:5" s="394" customFormat="1" ht="12" customHeight="1" thickBot="1">
      <c r="A73" s="348" t="s">
        <v>383</v>
      </c>
      <c r="B73" s="397" t="s">
        <v>384</v>
      </c>
      <c r="C73" s="388"/>
      <c r="D73" s="388"/>
      <c r="E73" s="371"/>
    </row>
    <row r="74" spans="1:5" s="394" customFormat="1" ht="12" customHeight="1" thickBot="1">
      <c r="A74" s="406" t="s">
        <v>385</v>
      </c>
      <c r="B74" s="374" t="s">
        <v>386</v>
      </c>
      <c r="C74" s="384">
        <f>+C75+C76+C77</f>
        <v>0</v>
      </c>
      <c r="D74" s="384">
        <f>+D75+D76+D77</f>
        <v>0</v>
      </c>
      <c r="E74" s="367">
        <f>+E75+E76+E77</f>
        <v>18143148</v>
      </c>
    </row>
    <row r="75" spans="1:5" s="394" customFormat="1" ht="12" customHeight="1">
      <c r="A75" s="347" t="s">
        <v>387</v>
      </c>
      <c r="B75" s="395" t="s">
        <v>388</v>
      </c>
      <c r="C75" s="388"/>
      <c r="D75" s="388"/>
      <c r="E75" s="371">
        <f>+'6.2. sz. mell'!E77</f>
        <v>18143148</v>
      </c>
    </row>
    <row r="76" spans="1:5" s="394" customFormat="1" ht="12" customHeight="1">
      <c r="A76" s="346" t="s">
        <v>389</v>
      </c>
      <c r="B76" s="396" t="s">
        <v>390</v>
      </c>
      <c r="C76" s="388"/>
      <c r="D76" s="388"/>
      <c r="E76" s="371"/>
    </row>
    <row r="77" spans="1:5" s="394" customFormat="1" ht="12" customHeight="1" thickBot="1">
      <c r="A77" s="348" t="s">
        <v>391</v>
      </c>
      <c r="B77" s="376" t="s">
        <v>392</v>
      </c>
      <c r="C77" s="388"/>
      <c r="D77" s="388"/>
      <c r="E77" s="371"/>
    </row>
    <row r="78" spans="1:5" s="394" customFormat="1" ht="12" customHeight="1" thickBot="1">
      <c r="A78" s="406" t="s">
        <v>393</v>
      </c>
      <c r="B78" s="374" t="s">
        <v>394</v>
      </c>
      <c r="C78" s="384">
        <f>+C79+C80+C81+C82</f>
        <v>0</v>
      </c>
      <c r="D78" s="384">
        <f>+D79+D80+D81+D82</f>
        <v>0</v>
      </c>
      <c r="E78" s="367">
        <f>+E79+E80+E81+E82</f>
        <v>0</v>
      </c>
    </row>
    <row r="79" spans="1:5" s="394" customFormat="1" ht="12" customHeight="1">
      <c r="A79" s="398" t="s">
        <v>395</v>
      </c>
      <c r="B79" s="395" t="s">
        <v>396</v>
      </c>
      <c r="C79" s="388"/>
      <c r="D79" s="388"/>
      <c r="E79" s="371"/>
    </row>
    <row r="80" spans="1:5" s="394" customFormat="1" ht="12" customHeight="1">
      <c r="A80" s="399" t="s">
        <v>397</v>
      </c>
      <c r="B80" s="396" t="s">
        <v>398</v>
      </c>
      <c r="C80" s="388"/>
      <c r="D80" s="388"/>
      <c r="E80" s="371"/>
    </row>
    <row r="81" spans="1:5" s="394" customFormat="1" ht="12" customHeight="1">
      <c r="A81" s="399" t="s">
        <v>399</v>
      </c>
      <c r="B81" s="396" t="s">
        <v>400</v>
      </c>
      <c r="C81" s="388"/>
      <c r="D81" s="388"/>
      <c r="E81" s="371"/>
    </row>
    <row r="82" spans="1:5" s="394" customFormat="1" ht="12" customHeight="1" thickBot="1">
      <c r="A82" s="407" t="s">
        <v>401</v>
      </c>
      <c r="B82" s="376" t="s">
        <v>402</v>
      </c>
      <c r="C82" s="388"/>
      <c r="D82" s="388"/>
      <c r="E82" s="371"/>
    </row>
    <row r="83" spans="1:5" s="394" customFormat="1" ht="12" customHeight="1" thickBot="1">
      <c r="A83" s="406" t="s">
        <v>403</v>
      </c>
      <c r="B83" s="374" t="s">
        <v>404</v>
      </c>
      <c r="C83" s="409"/>
      <c r="D83" s="409"/>
      <c r="E83" s="410"/>
    </row>
    <row r="84" spans="1:5" s="394" customFormat="1" ht="12" customHeight="1" thickBot="1">
      <c r="A84" s="406" t="s">
        <v>405</v>
      </c>
      <c r="B84" s="330" t="s">
        <v>406</v>
      </c>
      <c r="C84" s="390">
        <f>+C62+C66+C71+C74+C78+C83</f>
        <v>85359000</v>
      </c>
      <c r="D84" s="390">
        <f>+D62+D66+D71+D74+D78+D83</f>
        <v>165162288</v>
      </c>
      <c r="E84" s="403">
        <f>+E62+E66+E71+E74+E78+E83</f>
        <v>163305436</v>
      </c>
    </row>
    <row r="85" spans="1:5" s="394" customFormat="1" ht="12" customHeight="1" thickBot="1">
      <c r="A85" s="408" t="s">
        <v>407</v>
      </c>
      <c r="B85" s="333" t="s">
        <v>408</v>
      </c>
      <c r="C85" s="390">
        <f>+C61+C84</f>
        <v>1114383836</v>
      </c>
      <c r="D85" s="390">
        <f>+D61+D84</f>
        <v>1303047819</v>
      </c>
      <c r="E85" s="403">
        <f>+E61+E84</f>
        <v>1379823600</v>
      </c>
    </row>
    <row r="86" spans="1:5" s="394" customFormat="1" ht="12" customHeight="1">
      <c r="A86" s="328"/>
      <c r="B86" s="328"/>
      <c r="C86" s="329"/>
      <c r="D86" s="329"/>
      <c r="E86" s="329"/>
    </row>
    <row r="87" spans="1:5" ht="16.5" customHeight="1">
      <c r="A87" s="823" t="s">
        <v>36</v>
      </c>
      <c r="B87" s="823"/>
      <c r="C87" s="823"/>
      <c r="D87" s="823"/>
      <c r="E87" s="823"/>
    </row>
    <row r="88" spans="1:5" s="400" customFormat="1" ht="16.5" customHeight="1" thickBot="1">
      <c r="A88" s="46" t="s">
        <v>112</v>
      </c>
      <c r="B88" s="46"/>
      <c r="C88" s="361"/>
      <c r="D88" s="361"/>
      <c r="E88" s="361" t="s">
        <v>752</v>
      </c>
    </row>
    <row r="89" spans="1:5" s="400" customFormat="1" ht="16.5" customHeight="1">
      <c r="A89" s="824" t="s">
        <v>59</v>
      </c>
      <c r="B89" s="826" t="s">
        <v>177</v>
      </c>
      <c r="C89" s="828" t="str">
        <f>+C3</f>
        <v>2016. évi</v>
      </c>
      <c r="D89" s="828"/>
      <c r="E89" s="829"/>
    </row>
    <row r="90" spans="1:5" ht="38.1" customHeight="1" thickBot="1">
      <c r="A90" s="825"/>
      <c r="B90" s="827"/>
      <c r="C90" s="47" t="s">
        <v>178</v>
      </c>
      <c r="D90" s="47" t="s">
        <v>183</v>
      </c>
      <c r="E90" s="48" t="s">
        <v>184</v>
      </c>
    </row>
    <row r="91" spans="1:5" s="393" customFormat="1" ht="12" customHeight="1" thickBot="1">
      <c r="A91" s="357" t="s">
        <v>409</v>
      </c>
      <c r="B91" s="358" t="s">
        <v>410</v>
      </c>
      <c r="C91" s="358" t="s">
        <v>411</v>
      </c>
      <c r="D91" s="358" t="s">
        <v>412</v>
      </c>
      <c r="E91" s="359" t="s">
        <v>413</v>
      </c>
    </row>
    <row r="92" spans="1:5" ht="12" customHeight="1" thickBot="1">
      <c r="A92" s="354" t="s">
        <v>7</v>
      </c>
      <c r="B92" s="356" t="s">
        <v>415</v>
      </c>
      <c r="C92" s="383">
        <f>SUM(C93:C97)</f>
        <v>1017283836</v>
      </c>
      <c r="D92" s="383">
        <f>SUM(D93:D97)</f>
        <v>1080649432</v>
      </c>
      <c r="E92" s="338">
        <f>SUM(E93:E97)</f>
        <v>1002917157</v>
      </c>
    </row>
    <row r="93" spans="1:5" ht="12" customHeight="1">
      <c r="A93" s="349" t="s">
        <v>71</v>
      </c>
      <c r="B93" s="342" t="s">
        <v>37</v>
      </c>
      <c r="C93" s="98">
        <v>492980000</v>
      </c>
      <c r="D93" s="98">
        <v>501092187</v>
      </c>
      <c r="E93" s="694">
        <f>+'6.2. sz. mell'!E92+'7.2. sz. mell'!E45+'8.1.1. sz. mell.'!E45+'8.2.1. sz. mell.'!E45+'8.3.1. sz. mell.'!E45</f>
        <v>488516672</v>
      </c>
    </row>
    <row r="94" spans="1:5" ht="12" customHeight="1">
      <c r="A94" s="346" t="s">
        <v>72</v>
      </c>
      <c r="B94" s="340" t="s">
        <v>133</v>
      </c>
      <c r="C94" s="385">
        <v>98773000</v>
      </c>
      <c r="D94" s="385">
        <v>102470887</v>
      </c>
      <c r="E94" s="505">
        <f>+'6.2. sz. mell'!E93+'7.2. sz. mell'!E46+'8.1.1. sz. mell.'!E46+'8.2.1. sz. mell.'!E46+'8.3.1. sz. mell.'!E46</f>
        <v>98749950</v>
      </c>
    </row>
    <row r="95" spans="1:5" ht="12" customHeight="1">
      <c r="A95" s="346" t="s">
        <v>73</v>
      </c>
      <c r="B95" s="340" t="s">
        <v>100</v>
      </c>
      <c r="C95" s="387">
        <v>344698836</v>
      </c>
      <c r="D95" s="387">
        <v>407307816</v>
      </c>
      <c r="E95" s="505">
        <f>+'6.2. sz. mell'!E94+'7.2. sz. mell'!E47+'8.1.1. sz. mell.'!E47+'8.2.1. sz. mell.'!E47+'8.3.1. sz. mell.'!E47</f>
        <v>355823039</v>
      </c>
    </row>
    <row r="96" spans="1:5" ht="12" customHeight="1">
      <c r="A96" s="346" t="s">
        <v>74</v>
      </c>
      <c r="B96" s="343" t="s">
        <v>134</v>
      </c>
      <c r="C96" s="387">
        <v>35992000</v>
      </c>
      <c r="D96" s="387">
        <v>16736586</v>
      </c>
      <c r="E96" s="505">
        <f>+'6.2. sz. mell'!E95+'7.2. sz. mell'!E48+'8.1.1. sz. mell.'!E48+'8.2.1. sz. mell.'!E48+'8.3.1. sz. mell.'!E48</f>
        <v>16669950</v>
      </c>
    </row>
    <row r="97" spans="1:5" ht="12" customHeight="1">
      <c r="A97" s="346" t="s">
        <v>83</v>
      </c>
      <c r="B97" s="351" t="s">
        <v>135</v>
      </c>
      <c r="C97" s="387">
        <v>44840000</v>
      </c>
      <c r="D97" s="387">
        <v>53041956</v>
      </c>
      <c r="E97" s="369">
        <f>+'6.2. sz. mell'!E96+'7.2. sz. mell'!E49+'8.1.1. sz. mell.'!E49+'8.2.1. sz. mell.'!E49+'8.3.1. sz. mell.'!E49</f>
        <v>43157546</v>
      </c>
    </row>
    <row r="98" spans="1:5" ht="12" customHeight="1">
      <c r="A98" s="346" t="s">
        <v>75</v>
      </c>
      <c r="B98" s="340" t="s">
        <v>416</v>
      </c>
      <c r="C98" s="387"/>
      <c r="D98" s="387"/>
      <c r="E98" s="370"/>
    </row>
    <row r="99" spans="1:5" ht="12" customHeight="1">
      <c r="A99" s="346" t="s">
        <v>76</v>
      </c>
      <c r="B99" s="363" t="s">
        <v>417</v>
      </c>
      <c r="C99" s="387"/>
      <c r="D99" s="387"/>
      <c r="E99" s="370"/>
    </row>
    <row r="100" spans="1:5" ht="12" customHeight="1">
      <c r="A100" s="346" t="s">
        <v>84</v>
      </c>
      <c r="B100" s="364" t="s">
        <v>418</v>
      </c>
      <c r="C100" s="387"/>
      <c r="D100" s="387"/>
      <c r="E100" s="370"/>
    </row>
    <row r="101" spans="1:5" ht="12" customHeight="1">
      <c r="A101" s="346" t="s">
        <v>85</v>
      </c>
      <c r="B101" s="364" t="s">
        <v>419</v>
      </c>
      <c r="C101" s="387"/>
      <c r="D101" s="387"/>
      <c r="E101" s="370"/>
    </row>
    <row r="102" spans="1:5" ht="12" customHeight="1">
      <c r="A102" s="346" t="s">
        <v>86</v>
      </c>
      <c r="B102" s="363" t="s">
        <v>420</v>
      </c>
      <c r="C102" s="387">
        <v>40740000</v>
      </c>
      <c r="D102" s="387">
        <v>48701258</v>
      </c>
      <c r="E102" s="370">
        <v>36812048</v>
      </c>
    </row>
    <row r="103" spans="1:5" ht="12" customHeight="1">
      <c r="A103" s="346" t="s">
        <v>87</v>
      </c>
      <c r="B103" s="363" t="s">
        <v>421</v>
      </c>
      <c r="C103" s="387"/>
      <c r="D103" s="387"/>
      <c r="E103" s="370"/>
    </row>
    <row r="104" spans="1:5" ht="12" customHeight="1">
      <c r="A104" s="346" t="s">
        <v>89</v>
      </c>
      <c r="B104" s="364" t="s">
        <v>422</v>
      </c>
      <c r="C104" s="387"/>
      <c r="D104" s="387"/>
      <c r="E104" s="370"/>
    </row>
    <row r="105" spans="1:5" ht="12" customHeight="1">
      <c r="A105" s="345" t="s">
        <v>136</v>
      </c>
      <c r="B105" s="365" t="s">
        <v>423</v>
      </c>
      <c r="C105" s="387"/>
      <c r="D105" s="387"/>
      <c r="E105" s="370"/>
    </row>
    <row r="106" spans="1:5" ht="12" customHeight="1">
      <c r="A106" s="346" t="s">
        <v>424</v>
      </c>
      <c r="B106" s="365" t="s">
        <v>425</v>
      </c>
      <c r="C106" s="387"/>
      <c r="D106" s="387"/>
      <c r="E106" s="370"/>
    </row>
    <row r="107" spans="1:5" ht="12" customHeight="1" thickBot="1">
      <c r="A107" s="350" t="s">
        <v>426</v>
      </c>
      <c r="B107" s="366" t="s">
        <v>427</v>
      </c>
      <c r="C107" s="99">
        <v>4100000</v>
      </c>
      <c r="D107" s="99">
        <v>4100000</v>
      </c>
      <c r="E107" s="331">
        <v>4100000</v>
      </c>
    </row>
    <row r="108" spans="1:5" ht="12" customHeight="1" thickBot="1">
      <c r="A108" s="352" t="s">
        <v>8</v>
      </c>
      <c r="B108" s="355" t="s">
        <v>428</v>
      </c>
      <c r="C108" s="384">
        <f>+C109+C111+C113</f>
        <v>66078000</v>
      </c>
      <c r="D108" s="384">
        <f>+D109+D111+D113</f>
        <v>164216617</v>
      </c>
      <c r="E108" s="367">
        <f>+E109+E111+E113</f>
        <v>141254026</v>
      </c>
    </row>
    <row r="109" spans="1:5" ht="12" customHeight="1">
      <c r="A109" s="347" t="s">
        <v>77</v>
      </c>
      <c r="B109" s="340" t="s">
        <v>155</v>
      </c>
      <c r="C109" s="386">
        <v>61278000</v>
      </c>
      <c r="D109" s="386">
        <v>124623647</v>
      </c>
      <c r="E109" s="369">
        <f>+'6.2. sz. mell'!E108+'7.2. sz. mell'!E51+'8.1.1. sz. mell.'!E51+'8.2.1. sz. mell.'!E51+'8.3.1. sz. mell.'!E51</f>
        <v>103983247</v>
      </c>
    </row>
    <row r="110" spans="1:5" ht="12" customHeight="1">
      <c r="A110" s="347" t="s">
        <v>78</v>
      </c>
      <c r="B110" s="344" t="s">
        <v>429</v>
      </c>
      <c r="C110" s="386"/>
      <c r="D110" s="386"/>
      <c r="E110" s="369"/>
    </row>
    <row r="111" spans="1:5">
      <c r="A111" s="347" t="s">
        <v>79</v>
      </c>
      <c r="B111" s="344" t="s">
        <v>137</v>
      </c>
      <c r="C111" s="385">
        <v>4800000</v>
      </c>
      <c r="D111" s="385">
        <v>39592970</v>
      </c>
      <c r="E111" s="369">
        <f>+'6.2. sz. mell'!E110+'7.2. sz. mell'!E52+'8.1.1. sz. mell.'!E52+'8.2.1. sz. mell.'!E52+'8.3.1. sz. mell.'!E52</f>
        <v>37270779</v>
      </c>
    </row>
    <row r="112" spans="1:5" ht="12" customHeight="1">
      <c r="A112" s="347" t="s">
        <v>80</v>
      </c>
      <c r="B112" s="344" t="s">
        <v>430</v>
      </c>
      <c r="C112" s="385"/>
      <c r="D112" s="385"/>
      <c r="E112" s="368"/>
    </row>
    <row r="113" spans="1:5" ht="12" customHeight="1">
      <c r="A113" s="347" t="s">
        <v>81</v>
      </c>
      <c r="B113" s="376" t="s">
        <v>158</v>
      </c>
      <c r="C113" s="385"/>
      <c r="D113" s="385"/>
      <c r="E113" s="368"/>
    </row>
    <row r="114" spans="1:5" ht="21.75" customHeight="1">
      <c r="A114" s="347" t="s">
        <v>88</v>
      </c>
      <c r="B114" s="375" t="s">
        <v>431</v>
      </c>
      <c r="C114" s="385"/>
      <c r="D114" s="385"/>
      <c r="E114" s="368"/>
    </row>
    <row r="115" spans="1:5" ht="24" customHeight="1">
      <c r="A115" s="347" t="s">
        <v>90</v>
      </c>
      <c r="B115" s="391" t="s">
        <v>432</v>
      </c>
      <c r="C115" s="385"/>
      <c r="D115" s="385"/>
      <c r="E115" s="368"/>
    </row>
    <row r="116" spans="1:5" ht="12" customHeight="1">
      <c r="A116" s="347" t="s">
        <v>138</v>
      </c>
      <c r="B116" s="364" t="s">
        <v>419</v>
      </c>
      <c r="C116" s="385"/>
      <c r="D116" s="385"/>
      <c r="E116" s="368"/>
    </row>
    <row r="117" spans="1:5" ht="12" customHeight="1">
      <c r="A117" s="347" t="s">
        <v>139</v>
      </c>
      <c r="B117" s="364" t="s">
        <v>433</v>
      </c>
      <c r="C117" s="385"/>
      <c r="D117" s="385"/>
      <c r="E117" s="368"/>
    </row>
    <row r="118" spans="1:5" ht="12" customHeight="1">
      <c r="A118" s="347" t="s">
        <v>140</v>
      </c>
      <c r="B118" s="364" t="s">
        <v>434</v>
      </c>
      <c r="C118" s="385"/>
      <c r="D118" s="385"/>
      <c r="E118" s="368"/>
    </row>
    <row r="119" spans="1:5" s="411" customFormat="1" ht="12" customHeight="1">
      <c r="A119" s="347" t="s">
        <v>435</v>
      </c>
      <c r="B119" s="364" t="s">
        <v>422</v>
      </c>
      <c r="C119" s="385"/>
      <c r="D119" s="385"/>
      <c r="E119" s="368"/>
    </row>
    <row r="120" spans="1:5" ht="12" customHeight="1">
      <c r="A120" s="347" t="s">
        <v>436</v>
      </c>
      <c r="B120" s="364" t="s">
        <v>437</v>
      </c>
      <c r="C120" s="385"/>
      <c r="D120" s="385"/>
      <c r="E120" s="368"/>
    </row>
    <row r="121" spans="1:5" ht="12" customHeight="1" thickBot="1">
      <c r="A121" s="345" t="s">
        <v>438</v>
      </c>
      <c r="B121" s="364" t="s">
        <v>439</v>
      </c>
      <c r="C121" s="387"/>
      <c r="D121" s="387"/>
      <c r="E121" s="370"/>
    </row>
    <row r="122" spans="1:5" ht="12" customHeight="1" thickBot="1">
      <c r="A122" s="352" t="s">
        <v>9</v>
      </c>
      <c r="B122" s="360" t="s">
        <v>440</v>
      </c>
      <c r="C122" s="384">
        <f>+C123+C124</f>
        <v>0</v>
      </c>
      <c r="D122" s="384">
        <f>+D123+D124</f>
        <v>15000000</v>
      </c>
      <c r="E122" s="367">
        <f>+E123+E124</f>
        <v>0</v>
      </c>
    </row>
    <row r="123" spans="1:5" ht="12" customHeight="1">
      <c r="A123" s="347" t="s">
        <v>60</v>
      </c>
      <c r="B123" s="341" t="s">
        <v>45</v>
      </c>
      <c r="C123" s="386"/>
      <c r="D123" s="386"/>
      <c r="E123" s="369"/>
    </row>
    <row r="124" spans="1:5" ht="12" customHeight="1" thickBot="1">
      <c r="A124" s="348" t="s">
        <v>61</v>
      </c>
      <c r="B124" s="344" t="s">
        <v>46</v>
      </c>
      <c r="C124" s="387"/>
      <c r="D124" s="387">
        <v>15000000</v>
      </c>
      <c r="E124" s="370"/>
    </row>
    <row r="125" spans="1:5" ht="12" customHeight="1" thickBot="1">
      <c r="A125" s="352" t="s">
        <v>10</v>
      </c>
      <c r="B125" s="360" t="s">
        <v>441</v>
      </c>
      <c r="C125" s="384">
        <f>+C92+C108+C122</f>
        <v>1083361836</v>
      </c>
      <c r="D125" s="384">
        <f>+D92+D108+D122</f>
        <v>1259866049</v>
      </c>
      <c r="E125" s="367">
        <f>+E92+E108+E122</f>
        <v>1144171183</v>
      </c>
    </row>
    <row r="126" spans="1:5" ht="12" customHeight="1" thickBot="1">
      <c r="A126" s="352" t="s">
        <v>11</v>
      </c>
      <c r="B126" s="360" t="s">
        <v>442</v>
      </c>
      <c r="C126" s="384">
        <f>+C127+C128+C129</f>
        <v>1633000</v>
      </c>
      <c r="D126" s="384">
        <f>+D127+D128+D129</f>
        <v>1633000</v>
      </c>
      <c r="E126" s="367">
        <f>+E127+E128+E129</f>
        <v>1633000</v>
      </c>
    </row>
    <row r="127" spans="1:5" ht="12" customHeight="1">
      <c r="A127" s="347" t="s">
        <v>64</v>
      </c>
      <c r="B127" s="341" t="s">
        <v>443</v>
      </c>
      <c r="C127" s="385">
        <v>1633000</v>
      </c>
      <c r="D127" s="385">
        <v>1633000</v>
      </c>
      <c r="E127" s="368">
        <f>+'6.2. sz. mell'!E126</f>
        <v>1633000</v>
      </c>
    </row>
    <row r="128" spans="1:5" ht="12" customHeight="1">
      <c r="A128" s="347" t="s">
        <v>65</v>
      </c>
      <c r="B128" s="341" t="s">
        <v>444</v>
      </c>
      <c r="C128" s="385"/>
      <c r="D128" s="385"/>
      <c r="E128" s="368"/>
    </row>
    <row r="129" spans="1:9" ht="12" customHeight="1" thickBot="1">
      <c r="A129" s="345" t="s">
        <v>66</v>
      </c>
      <c r="B129" s="339" t="s">
        <v>445</v>
      </c>
      <c r="C129" s="385"/>
      <c r="D129" s="385"/>
      <c r="E129" s="368"/>
    </row>
    <row r="130" spans="1:9" ht="12" customHeight="1" thickBot="1">
      <c r="A130" s="352" t="s">
        <v>12</v>
      </c>
      <c r="B130" s="360" t="s">
        <v>446</v>
      </c>
      <c r="C130" s="384">
        <f>+C131+C132+C134+C133</f>
        <v>0</v>
      </c>
      <c r="D130" s="384">
        <f>+D131+D132+D134+D133</f>
        <v>0</v>
      </c>
      <c r="E130" s="367">
        <f>+E131+E132+E134+E133</f>
        <v>0</v>
      </c>
    </row>
    <row r="131" spans="1:9" ht="12" customHeight="1">
      <c r="A131" s="347" t="s">
        <v>67</v>
      </c>
      <c r="B131" s="341" t="s">
        <v>447</v>
      </c>
      <c r="C131" s="385"/>
      <c r="D131" s="385"/>
      <c r="E131" s="368"/>
    </row>
    <row r="132" spans="1:9" ht="12" customHeight="1">
      <c r="A132" s="347" t="s">
        <v>68</v>
      </c>
      <c r="B132" s="341" t="s">
        <v>448</v>
      </c>
      <c r="C132" s="385"/>
      <c r="D132" s="385"/>
      <c r="E132" s="368"/>
    </row>
    <row r="133" spans="1:9" ht="12" customHeight="1">
      <c r="A133" s="347" t="s">
        <v>343</v>
      </c>
      <c r="B133" s="341" t="s">
        <v>449</v>
      </c>
      <c r="C133" s="385"/>
      <c r="D133" s="385"/>
      <c r="E133" s="368"/>
    </row>
    <row r="134" spans="1:9" ht="12" customHeight="1" thickBot="1">
      <c r="A134" s="345" t="s">
        <v>345</v>
      </c>
      <c r="B134" s="339" t="s">
        <v>450</v>
      </c>
      <c r="C134" s="385"/>
      <c r="D134" s="385"/>
      <c r="E134" s="368"/>
    </row>
    <row r="135" spans="1:9" ht="12" customHeight="1" thickBot="1">
      <c r="A135" s="352" t="s">
        <v>13</v>
      </c>
      <c r="B135" s="360" t="s">
        <v>451</v>
      </c>
      <c r="C135" s="390">
        <f>+C136+C137+C138+C139</f>
        <v>900000</v>
      </c>
      <c r="D135" s="390">
        <f>+D136+D137+D138+D139</f>
        <v>17564290</v>
      </c>
      <c r="E135" s="403">
        <f>+E136+E137+E138+E139</f>
        <v>17544164</v>
      </c>
    </row>
    <row r="136" spans="1:9" ht="12" customHeight="1">
      <c r="A136" s="347" t="s">
        <v>69</v>
      </c>
      <c r="B136" s="341" t="s">
        <v>452</v>
      </c>
      <c r="C136" s="385"/>
      <c r="D136" s="385"/>
      <c r="E136" s="368"/>
    </row>
    <row r="137" spans="1:9" ht="12" customHeight="1">
      <c r="A137" s="347" t="s">
        <v>70</v>
      </c>
      <c r="B137" s="341" t="s">
        <v>453</v>
      </c>
      <c r="C137" s="385"/>
      <c r="D137" s="385">
        <v>16664290</v>
      </c>
      <c r="E137" s="368">
        <f>+'6.2. sz. mell'!E136</f>
        <v>16664290</v>
      </c>
    </row>
    <row r="138" spans="1:9" ht="12" customHeight="1">
      <c r="A138" s="347" t="s">
        <v>352</v>
      </c>
      <c r="B138" s="341" t="s">
        <v>454</v>
      </c>
      <c r="C138" s="385"/>
      <c r="D138" s="385"/>
      <c r="E138" s="368"/>
    </row>
    <row r="139" spans="1:9" ht="12" customHeight="1" thickBot="1">
      <c r="A139" s="345" t="s">
        <v>354</v>
      </c>
      <c r="B139" s="339" t="s">
        <v>455</v>
      </c>
      <c r="C139" s="385">
        <v>900000</v>
      </c>
      <c r="D139" s="385">
        <v>900000</v>
      </c>
      <c r="E139" s="368">
        <f>+'6.2. sz. mell'!E139</f>
        <v>879874</v>
      </c>
    </row>
    <row r="140" spans="1:9" ht="15" customHeight="1" thickBot="1">
      <c r="A140" s="352" t="s">
        <v>14</v>
      </c>
      <c r="B140" s="360" t="s">
        <v>456</v>
      </c>
      <c r="C140" s="100">
        <f>+C141+C142+C143+C144</f>
        <v>0</v>
      </c>
      <c r="D140" s="100">
        <f>+D141+D142+D143+D144</f>
        <v>0</v>
      </c>
      <c r="E140" s="336">
        <f>+E141+E142+E143+E144</f>
        <v>0</v>
      </c>
      <c r="F140" s="401"/>
      <c r="G140" s="402"/>
      <c r="H140" s="402"/>
      <c r="I140" s="402"/>
    </row>
    <row r="141" spans="1:9" s="394" customFormat="1" ht="12.95" customHeight="1">
      <c r="A141" s="347" t="s">
        <v>131</v>
      </c>
      <c r="B141" s="341" t="s">
        <v>457</v>
      </c>
      <c r="C141" s="385"/>
      <c r="D141" s="385"/>
      <c r="E141" s="368"/>
    </row>
    <row r="142" spans="1:9" ht="12.75" customHeight="1">
      <c r="A142" s="347" t="s">
        <v>132</v>
      </c>
      <c r="B142" s="341" t="s">
        <v>458</v>
      </c>
      <c r="C142" s="385"/>
      <c r="D142" s="385"/>
      <c r="E142" s="368"/>
    </row>
    <row r="143" spans="1:9" ht="12.75" customHeight="1">
      <c r="A143" s="347" t="s">
        <v>157</v>
      </c>
      <c r="B143" s="341" t="s">
        <v>459</v>
      </c>
      <c r="C143" s="385"/>
      <c r="D143" s="385"/>
      <c r="E143" s="368"/>
    </row>
    <row r="144" spans="1:9" ht="12.75" customHeight="1" thickBot="1">
      <c r="A144" s="347" t="s">
        <v>360</v>
      </c>
      <c r="B144" s="341" t="s">
        <v>460</v>
      </c>
      <c r="C144" s="385"/>
      <c r="D144" s="385"/>
      <c r="E144" s="368"/>
    </row>
    <row r="145" spans="1:5" ht="16.5" thickBot="1">
      <c r="A145" s="352" t="s">
        <v>15</v>
      </c>
      <c r="B145" s="360" t="s">
        <v>461</v>
      </c>
      <c r="C145" s="334">
        <f>+C126+C130+C135+C140</f>
        <v>2533000</v>
      </c>
      <c r="D145" s="334">
        <f>+D126+D130+D135+D140</f>
        <v>19197290</v>
      </c>
      <c r="E145" s="335">
        <f>+E126+E130+E135+E140</f>
        <v>19177164</v>
      </c>
    </row>
    <row r="146" spans="1:5" ht="16.5" thickBot="1">
      <c r="A146" s="377" t="s">
        <v>16</v>
      </c>
      <c r="B146" s="380" t="s">
        <v>462</v>
      </c>
      <c r="C146" s="334">
        <f>+C125+C145</f>
        <v>1085894836</v>
      </c>
      <c r="D146" s="334">
        <f>+D125+D145</f>
        <v>1279063339</v>
      </c>
      <c r="E146" s="335">
        <f>+E125+E145</f>
        <v>1163348347</v>
      </c>
    </row>
    <row r="148" spans="1:5" ht="18.75" customHeight="1">
      <c r="A148" s="822" t="s">
        <v>463</v>
      </c>
      <c r="B148" s="822"/>
      <c r="C148" s="822"/>
      <c r="D148" s="822"/>
      <c r="E148" s="822"/>
    </row>
    <row r="149" spans="1:5" ht="13.5" customHeight="1" thickBot="1">
      <c r="A149" s="362" t="s">
        <v>113</v>
      </c>
      <c r="B149" s="362"/>
      <c r="C149" s="392"/>
      <c r="E149" s="379" t="s">
        <v>752</v>
      </c>
    </row>
    <row r="150" spans="1:5" ht="21.75" thickBot="1">
      <c r="A150" s="352">
        <v>1</v>
      </c>
      <c r="B150" s="355" t="s">
        <v>464</v>
      </c>
      <c r="C150" s="378">
        <f>+C61-C125</f>
        <v>-54337000</v>
      </c>
      <c r="D150" s="378">
        <f>+D61-D125</f>
        <v>-121980518</v>
      </c>
      <c r="E150" s="378">
        <f>+E61-E125</f>
        <v>72346981</v>
      </c>
    </row>
    <row r="151" spans="1:5" ht="21.75" thickBot="1">
      <c r="A151" s="352" t="s">
        <v>8</v>
      </c>
      <c r="B151" s="355" t="s">
        <v>465</v>
      </c>
      <c r="C151" s="378">
        <f>+C84-C145</f>
        <v>82826000</v>
      </c>
      <c r="D151" s="378">
        <f>+D84-D145</f>
        <v>145964998</v>
      </c>
      <c r="E151" s="378">
        <f>+E84-E145</f>
        <v>144128272</v>
      </c>
    </row>
    <row r="152" spans="1:5" ht="7.5" customHeight="1"/>
    <row r="154" spans="1:5" ht="12.75" customHeight="1"/>
    <row r="155" spans="1:5" ht="12.75" customHeight="1"/>
    <row r="156" spans="1:5" ht="12.75" customHeight="1"/>
    <row r="157" spans="1:5" ht="12.75" customHeight="1"/>
    <row r="158" spans="1:5" ht="12.75" customHeight="1"/>
    <row r="159" spans="1:5" ht="12.75" customHeight="1"/>
    <row r="160" spans="1:5" ht="12.75" customHeight="1"/>
    <row r="161" spans="3:5" s="381" customFormat="1" ht="12.75" customHeight="1">
      <c r="C161" s="382"/>
      <c r="D161" s="382"/>
      <c r="E161" s="382"/>
    </row>
  </sheetData>
  <mergeCells count="9">
    <mergeCell ref="A148:E148"/>
    <mergeCell ref="A1:E1"/>
    <mergeCell ref="A3:A4"/>
    <mergeCell ref="B3:B4"/>
    <mergeCell ref="C3:E3"/>
    <mergeCell ref="A87:E87"/>
    <mergeCell ref="A89:A90"/>
    <mergeCell ref="B89:B90"/>
    <mergeCell ref="C89:E89"/>
  </mergeCells>
  <phoneticPr fontId="27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2016. ÉVI ZÁRSZÁMADÁS
KÖTELEZŐ FELADATAINAK MÉRLEGE 
&amp;R&amp;"Times New Roman CE,Félkövér dőlt"&amp;11 1.2. melléklet a 15/2017. (V. 30.) önkormányzati rendelethez</oddHeader>
  </headerFooter>
  <rowBreaks count="1" manualBreakCount="1">
    <brk id="86" max="4" man="1"/>
  </rowBreaks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92D050"/>
  </sheetPr>
  <dimension ref="A1:E58"/>
  <sheetViews>
    <sheetView zoomScaleNormal="100" zoomScaleSheetLayoutView="145" workbookViewId="0">
      <selection activeCell="E2" sqref="E2"/>
    </sheetView>
  </sheetViews>
  <sheetFormatPr defaultRowHeight="12.75"/>
  <cols>
    <col min="1" max="1" width="18.6640625" style="556" customWidth="1"/>
    <col min="2" max="2" width="62" style="32" customWidth="1"/>
    <col min="3" max="5" width="15.83203125" style="32" customWidth="1"/>
    <col min="6" max="16384" width="9.33203125" style="32"/>
  </cols>
  <sheetData>
    <row r="1" spans="1:5" s="491" customFormat="1" ht="21" customHeight="1" thickBot="1">
      <c r="A1" s="490"/>
      <c r="B1" s="492"/>
      <c r="C1" s="537"/>
      <c r="D1" s="537"/>
      <c r="E1" s="630" t="str">
        <f>+CONCATENATE("8.3.2. melléklet a 15/",LEFT(ÖSSZEFÜGGÉSEK!A4,4)+1,". (V. 30.) önkormányzati rendelethez")</f>
        <v>8.3.2. melléklet a 15/2017. (V. 30.) önkormányzati rendelethez</v>
      </c>
    </row>
    <row r="2" spans="1:5" s="538" customFormat="1" ht="25.5" customHeight="1">
      <c r="A2" s="518" t="s">
        <v>147</v>
      </c>
      <c r="B2" s="866" t="s">
        <v>735</v>
      </c>
      <c r="C2" s="867"/>
      <c r="D2" s="868"/>
      <c r="E2" s="561" t="s">
        <v>50</v>
      </c>
    </row>
    <row r="3" spans="1:5" s="538" customFormat="1" ht="24.75" thickBot="1">
      <c r="A3" s="536" t="s">
        <v>146</v>
      </c>
      <c r="B3" s="869" t="s">
        <v>664</v>
      </c>
      <c r="C3" s="872"/>
      <c r="D3" s="873"/>
      <c r="E3" s="562" t="s">
        <v>48</v>
      </c>
    </row>
    <row r="4" spans="1:5" s="539" customFormat="1" ht="15.95" customHeight="1" thickBot="1">
      <c r="A4" s="493"/>
      <c r="B4" s="493"/>
      <c r="C4" s="494"/>
      <c r="D4" s="494"/>
      <c r="E4" s="494" t="s">
        <v>769</v>
      </c>
    </row>
    <row r="5" spans="1:5" ht="24.75" thickBot="1">
      <c r="A5" s="325" t="s">
        <v>148</v>
      </c>
      <c r="B5" s="326" t="s">
        <v>727</v>
      </c>
      <c r="C5" s="97" t="s">
        <v>178</v>
      </c>
      <c r="D5" s="97" t="s">
        <v>183</v>
      </c>
      <c r="E5" s="495" t="s">
        <v>184</v>
      </c>
    </row>
    <row r="6" spans="1:5" s="540" customFormat="1" ht="12.95" customHeight="1" thickBot="1">
      <c r="A6" s="488" t="s">
        <v>409</v>
      </c>
      <c r="B6" s="489" t="s">
        <v>410</v>
      </c>
      <c r="C6" s="489" t="s">
        <v>411</v>
      </c>
      <c r="D6" s="112" t="s">
        <v>412</v>
      </c>
      <c r="E6" s="110" t="s">
        <v>413</v>
      </c>
    </row>
    <row r="7" spans="1:5" s="540" customFormat="1" ht="15.95" customHeight="1" thickBot="1">
      <c r="A7" s="863" t="s">
        <v>42</v>
      </c>
      <c r="B7" s="864"/>
      <c r="C7" s="864"/>
      <c r="D7" s="864"/>
      <c r="E7" s="865"/>
    </row>
    <row r="8" spans="1:5" s="514" customFormat="1" ht="12" customHeight="1" thickBot="1">
      <c r="A8" s="488" t="s">
        <v>7</v>
      </c>
      <c r="B8" s="552" t="s">
        <v>549</v>
      </c>
      <c r="C8" s="419">
        <f>SUM(C9:C18)</f>
        <v>0</v>
      </c>
      <c r="D8" s="581">
        <f>SUM(D9:D18)</f>
        <v>0</v>
      </c>
      <c r="E8" s="558">
        <f>SUM(E9:E18)</f>
        <v>0</v>
      </c>
    </row>
    <row r="9" spans="1:5" s="514" customFormat="1" ht="12" customHeight="1">
      <c r="A9" s="563" t="s">
        <v>71</v>
      </c>
      <c r="B9" s="342" t="s">
        <v>328</v>
      </c>
      <c r="C9" s="106"/>
      <c r="D9" s="582"/>
      <c r="E9" s="547"/>
    </row>
    <row r="10" spans="1:5" s="514" customFormat="1" ht="12" customHeight="1">
      <c r="A10" s="564" t="s">
        <v>72</v>
      </c>
      <c r="B10" s="340" t="s">
        <v>329</v>
      </c>
      <c r="C10" s="416"/>
      <c r="D10" s="583"/>
      <c r="E10" s="115"/>
    </row>
    <row r="11" spans="1:5" s="514" customFormat="1" ht="12" customHeight="1">
      <c r="A11" s="564" t="s">
        <v>73</v>
      </c>
      <c r="B11" s="340" t="s">
        <v>330</v>
      </c>
      <c r="C11" s="416"/>
      <c r="D11" s="583"/>
      <c r="E11" s="115"/>
    </row>
    <row r="12" spans="1:5" s="514" customFormat="1" ht="12" customHeight="1">
      <c r="A12" s="564" t="s">
        <v>74</v>
      </c>
      <c r="B12" s="340" t="s">
        <v>331</v>
      </c>
      <c r="C12" s="416"/>
      <c r="D12" s="583"/>
      <c r="E12" s="115"/>
    </row>
    <row r="13" spans="1:5" s="514" customFormat="1" ht="12" customHeight="1">
      <c r="A13" s="564" t="s">
        <v>107</v>
      </c>
      <c r="B13" s="340" t="s">
        <v>332</v>
      </c>
      <c r="C13" s="416"/>
      <c r="D13" s="583"/>
      <c r="E13" s="115"/>
    </row>
    <row r="14" spans="1:5" s="514" customFormat="1" ht="12" customHeight="1">
      <c r="A14" s="564" t="s">
        <v>75</v>
      </c>
      <c r="B14" s="340" t="s">
        <v>550</v>
      </c>
      <c r="C14" s="416"/>
      <c r="D14" s="583"/>
      <c r="E14" s="115"/>
    </row>
    <row r="15" spans="1:5" s="541" customFormat="1" ht="12" customHeight="1">
      <c r="A15" s="564" t="s">
        <v>76</v>
      </c>
      <c r="B15" s="339" t="s">
        <v>551</v>
      </c>
      <c r="C15" s="416"/>
      <c r="D15" s="583"/>
      <c r="E15" s="115"/>
    </row>
    <row r="16" spans="1:5" s="541" customFormat="1" ht="12" customHeight="1">
      <c r="A16" s="564" t="s">
        <v>84</v>
      </c>
      <c r="B16" s="340" t="s">
        <v>335</v>
      </c>
      <c r="C16" s="107"/>
      <c r="D16" s="584"/>
      <c r="E16" s="546"/>
    </row>
    <row r="17" spans="1:5" s="514" customFormat="1" ht="12" customHeight="1">
      <c r="A17" s="564" t="s">
        <v>85</v>
      </c>
      <c r="B17" s="340" t="s">
        <v>337</v>
      </c>
      <c r="C17" s="416"/>
      <c r="D17" s="583"/>
      <c r="E17" s="115"/>
    </row>
    <row r="18" spans="1:5" s="541" customFormat="1" ht="12" customHeight="1" thickBot="1">
      <c r="A18" s="564" t="s">
        <v>86</v>
      </c>
      <c r="B18" s="339" t="s">
        <v>339</v>
      </c>
      <c r="C18" s="418"/>
      <c r="D18" s="116"/>
      <c r="E18" s="542"/>
    </row>
    <row r="19" spans="1:5" s="541" customFormat="1" ht="12" customHeight="1" thickBot="1">
      <c r="A19" s="488" t="s">
        <v>8</v>
      </c>
      <c r="B19" s="552" t="s">
        <v>552</v>
      </c>
      <c r="C19" s="419">
        <f>SUM(C20:C22)</f>
        <v>0</v>
      </c>
      <c r="D19" s="581">
        <f>SUM(D20:D22)</f>
        <v>0</v>
      </c>
      <c r="E19" s="558">
        <f>SUM(E20:E22)</f>
        <v>0</v>
      </c>
    </row>
    <row r="20" spans="1:5" s="541" customFormat="1" ht="12" customHeight="1">
      <c r="A20" s="564" t="s">
        <v>77</v>
      </c>
      <c r="B20" s="341" t="s">
        <v>309</v>
      </c>
      <c r="C20" s="416"/>
      <c r="D20" s="583"/>
      <c r="E20" s="115"/>
    </row>
    <row r="21" spans="1:5" s="541" customFormat="1" ht="12" customHeight="1">
      <c r="A21" s="564" t="s">
        <v>78</v>
      </c>
      <c r="B21" s="340" t="s">
        <v>553</v>
      </c>
      <c r="C21" s="416"/>
      <c r="D21" s="583"/>
      <c r="E21" s="115"/>
    </row>
    <row r="22" spans="1:5" s="541" customFormat="1" ht="12" customHeight="1">
      <c r="A22" s="564" t="s">
        <v>79</v>
      </c>
      <c r="B22" s="340" t="s">
        <v>554</v>
      </c>
      <c r="C22" s="416"/>
      <c r="D22" s="583"/>
      <c r="E22" s="115"/>
    </row>
    <row r="23" spans="1:5" s="514" customFormat="1" ht="12" customHeight="1" thickBot="1">
      <c r="A23" s="564" t="s">
        <v>80</v>
      </c>
      <c r="B23" s="340" t="s">
        <v>671</v>
      </c>
      <c r="C23" s="416"/>
      <c r="D23" s="583"/>
      <c r="E23" s="115"/>
    </row>
    <row r="24" spans="1:5" s="514" customFormat="1" ht="12" customHeight="1" thickBot="1">
      <c r="A24" s="551" t="s">
        <v>9</v>
      </c>
      <c r="B24" s="360" t="s">
        <v>124</v>
      </c>
      <c r="C24" s="41"/>
      <c r="D24" s="585"/>
      <c r="E24" s="557"/>
    </row>
    <row r="25" spans="1:5" s="514" customFormat="1" ht="12" customHeight="1" thickBot="1">
      <c r="A25" s="551" t="s">
        <v>10</v>
      </c>
      <c r="B25" s="360" t="s">
        <v>555</v>
      </c>
      <c r="C25" s="419">
        <f>+C26+C27</f>
        <v>0</v>
      </c>
      <c r="D25" s="581">
        <f>+D26+D27</f>
        <v>0</v>
      </c>
      <c r="E25" s="558">
        <f>+E26+E27</f>
        <v>0</v>
      </c>
    </row>
    <row r="26" spans="1:5" s="514" customFormat="1" ht="12" customHeight="1">
      <c r="A26" s="565" t="s">
        <v>322</v>
      </c>
      <c r="B26" s="566" t="s">
        <v>553</v>
      </c>
      <c r="C26" s="103"/>
      <c r="D26" s="572"/>
      <c r="E26" s="545"/>
    </row>
    <row r="27" spans="1:5" s="514" customFormat="1" ht="12" customHeight="1">
      <c r="A27" s="565" t="s">
        <v>323</v>
      </c>
      <c r="B27" s="567" t="s">
        <v>556</v>
      </c>
      <c r="C27" s="420"/>
      <c r="D27" s="586"/>
      <c r="E27" s="544"/>
    </row>
    <row r="28" spans="1:5" s="514" customFormat="1" ht="12" customHeight="1" thickBot="1">
      <c r="A28" s="564" t="s">
        <v>324</v>
      </c>
      <c r="B28" s="568" t="s">
        <v>672</v>
      </c>
      <c r="C28" s="548"/>
      <c r="D28" s="587"/>
      <c r="E28" s="543"/>
    </row>
    <row r="29" spans="1:5" s="514" customFormat="1" ht="12" customHeight="1" thickBot="1">
      <c r="A29" s="551" t="s">
        <v>11</v>
      </c>
      <c r="B29" s="360" t="s">
        <v>557</v>
      </c>
      <c r="C29" s="419">
        <f>+C30+C31+C32</f>
        <v>0</v>
      </c>
      <c r="D29" s="581">
        <f>+D30+D31+D32</f>
        <v>0</v>
      </c>
      <c r="E29" s="558">
        <f>+E30+E31+E32</f>
        <v>0</v>
      </c>
    </row>
    <row r="30" spans="1:5" s="514" customFormat="1" ht="12" customHeight="1">
      <c r="A30" s="565" t="s">
        <v>64</v>
      </c>
      <c r="B30" s="566" t="s">
        <v>341</v>
      </c>
      <c r="C30" s="103"/>
      <c r="D30" s="572"/>
      <c r="E30" s="545"/>
    </row>
    <row r="31" spans="1:5" s="514" customFormat="1" ht="12" customHeight="1">
      <c r="A31" s="565" t="s">
        <v>65</v>
      </c>
      <c r="B31" s="567" t="s">
        <v>342</v>
      </c>
      <c r="C31" s="420"/>
      <c r="D31" s="586"/>
      <c r="E31" s="544"/>
    </row>
    <row r="32" spans="1:5" s="514" customFormat="1" ht="12" customHeight="1" thickBot="1">
      <c r="A32" s="564" t="s">
        <v>66</v>
      </c>
      <c r="B32" s="550" t="s">
        <v>344</v>
      </c>
      <c r="C32" s="548"/>
      <c r="D32" s="587"/>
      <c r="E32" s="543"/>
    </row>
    <row r="33" spans="1:5" s="514" customFormat="1" ht="12" customHeight="1" thickBot="1">
      <c r="A33" s="551" t="s">
        <v>12</v>
      </c>
      <c r="B33" s="360" t="s">
        <v>469</v>
      </c>
      <c r="C33" s="41"/>
      <c r="D33" s="585"/>
      <c r="E33" s="557"/>
    </row>
    <row r="34" spans="1:5" s="514" customFormat="1" ht="12" customHeight="1" thickBot="1">
      <c r="A34" s="551" t="s">
        <v>13</v>
      </c>
      <c r="B34" s="360" t="s">
        <v>558</v>
      </c>
      <c r="C34" s="41"/>
      <c r="D34" s="585"/>
      <c r="E34" s="557"/>
    </row>
    <row r="35" spans="1:5" s="514" customFormat="1" ht="12" customHeight="1" thickBot="1">
      <c r="A35" s="488" t="s">
        <v>14</v>
      </c>
      <c r="B35" s="360" t="s">
        <v>559</v>
      </c>
      <c r="C35" s="419">
        <f>+C8+C19+C24+C25+C29+C33+C34</f>
        <v>0</v>
      </c>
      <c r="D35" s="581">
        <f>+D8+D19+D24+D25+D29+D33+D34</f>
        <v>0</v>
      </c>
      <c r="E35" s="558">
        <f>+E8+E19+E24+E25+E29+E33+E34</f>
        <v>0</v>
      </c>
    </row>
    <row r="36" spans="1:5" s="541" customFormat="1" ht="12" customHeight="1" thickBot="1">
      <c r="A36" s="553" t="s">
        <v>15</v>
      </c>
      <c r="B36" s="360" t="s">
        <v>560</v>
      </c>
      <c r="C36" s="419">
        <f>+C37+C38+C39</f>
        <v>0</v>
      </c>
      <c r="D36" s="581">
        <f>+D37+D38+D39</f>
        <v>0</v>
      </c>
      <c r="E36" s="558">
        <f>+E37+E38+E39</f>
        <v>0</v>
      </c>
    </row>
    <row r="37" spans="1:5" s="541" customFormat="1" ht="15" customHeight="1">
      <c r="A37" s="565" t="s">
        <v>561</v>
      </c>
      <c r="B37" s="566" t="s">
        <v>165</v>
      </c>
      <c r="C37" s="103"/>
      <c r="D37" s="572"/>
      <c r="E37" s="545"/>
    </row>
    <row r="38" spans="1:5" s="541" customFormat="1" ht="15" customHeight="1">
      <c r="A38" s="565" t="s">
        <v>562</v>
      </c>
      <c r="B38" s="567" t="s">
        <v>3</v>
      </c>
      <c r="C38" s="420"/>
      <c r="D38" s="586"/>
      <c r="E38" s="544"/>
    </row>
    <row r="39" spans="1:5" ht="13.5" thickBot="1">
      <c r="A39" s="564" t="s">
        <v>563</v>
      </c>
      <c r="B39" s="550" t="s">
        <v>564</v>
      </c>
      <c r="C39" s="548"/>
      <c r="D39" s="587"/>
      <c r="E39" s="543"/>
    </row>
    <row r="40" spans="1:5" s="540" customFormat="1" ht="16.5" customHeight="1" thickBot="1">
      <c r="A40" s="553" t="s">
        <v>16</v>
      </c>
      <c r="B40" s="554" t="s">
        <v>565</v>
      </c>
      <c r="C40" s="109">
        <f>+C35+C36</f>
        <v>0</v>
      </c>
      <c r="D40" s="588">
        <f>+D35+D36</f>
        <v>0</v>
      </c>
      <c r="E40" s="559">
        <f>+E35+E36</f>
        <v>0</v>
      </c>
    </row>
    <row r="41" spans="1:5" s="315" customFormat="1" ht="12" customHeight="1">
      <c r="A41" s="496"/>
      <c r="B41" s="497"/>
      <c r="C41" s="512"/>
      <c r="D41" s="512"/>
      <c r="E41" s="512"/>
    </row>
    <row r="42" spans="1:5" ht="12" customHeight="1" thickBot="1">
      <c r="A42" s="498"/>
      <c r="B42" s="499"/>
      <c r="C42" s="513"/>
      <c r="D42" s="513"/>
      <c r="E42" s="513"/>
    </row>
    <row r="43" spans="1:5" ht="12" customHeight="1" thickBot="1">
      <c r="A43" s="863" t="s">
        <v>43</v>
      </c>
      <c r="B43" s="864"/>
      <c r="C43" s="864"/>
      <c r="D43" s="864"/>
      <c r="E43" s="865"/>
    </row>
    <row r="44" spans="1:5" ht="12" customHeight="1" thickBot="1">
      <c r="A44" s="551" t="s">
        <v>7</v>
      </c>
      <c r="B44" s="360" t="s">
        <v>566</v>
      </c>
      <c r="C44" s="419">
        <f>SUM(C45:C49)</f>
        <v>0</v>
      </c>
      <c r="D44" s="419">
        <f>SUM(D45:D49)</f>
        <v>0</v>
      </c>
      <c r="E44" s="558">
        <f>SUM(E45:E49)</f>
        <v>0</v>
      </c>
    </row>
    <row r="45" spans="1:5" ht="12" customHeight="1">
      <c r="A45" s="564" t="s">
        <v>71</v>
      </c>
      <c r="B45" s="341" t="s">
        <v>37</v>
      </c>
      <c r="C45" s="103"/>
      <c r="D45" s="103"/>
      <c r="E45" s="545"/>
    </row>
    <row r="46" spans="1:5" ht="12" customHeight="1">
      <c r="A46" s="564" t="s">
        <v>72</v>
      </c>
      <c r="B46" s="340" t="s">
        <v>133</v>
      </c>
      <c r="C46" s="413"/>
      <c r="D46" s="413"/>
      <c r="E46" s="569"/>
    </row>
    <row r="47" spans="1:5" ht="12" customHeight="1">
      <c r="A47" s="564" t="s">
        <v>73</v>
      </c>
      <c r="B47" s="340" t="s">
        <v>100</v>
      </c>
      <c r="C47" s="413"/>
      <c r="D47" s="413"/>
      <c r="E47" s="569"/>
    </row>
    <row r="48" spans="1:5" s="315" customFormat="1" ht="12" customHeight="1">
      <c r="A48" s="564" t="s">
        <v>74</v>
      </c>
      <c r="B48" s="340" t="s">
        <v>134</v>
      </c>
      <c r="C48" s="413"/>
      <c r="D48" s="413"/>
      <c r="E48" s="569"/>
    </row>
    <row r="49" spans="1:5" ht="12" customHeight="1" thickBot="1">
      <c r="A49" s="564" t="s">
        <v>107</v>
      </c>
      <c r="B49" s="340" t="s">
        <v>135</v>
      </c>
      <c r="C49" s="413"/>
      <c r="D49" s="413"/>
      <c r="E49" s="569"/>
    </row>
    <row r="50" spans="1:5" ht="12" customHeight="1" thickBot="1">
      <c r="A50" s="551" t="s">
        <v>8</v>
      </c>
      <c r="B50" s="360" t="s">
        <v>567</v>
      </c>
      <c r="C50" s="419">
        <f>SUM(C51:C53)</f>
        <v>0</v>
      </c>
      <c r="D50" s="419">
        <f>SUM(D51:D53)</f>
        <v>0</v>
      </c>
      <c r="E50" s="558">
        <f>SUM(E51:E53)</f>
        <v>0</v>
      </c>
    </row>
    <row r="51" spans="1:5" ht="12" customHeight="1">
      <c r="A51" s="564" t="s">
        <v>77</v>
      </c>
      <c r="B51" s="341" t="s">
        <v>155</v>
      </c>
      <c r="C51" s="103"/>
      <c r="D51" s="103"/>
      <c r="E51" s="545"/>
    </row>
    <row r="52" spans="1:5" ht="12" customHeight="1">
      <c r="A52" s="564" t="s">
        <v>78</v>
      </c>
      <c r="B52" s="340" t="s">
        <v>137</v>
      </c>
      <c r="C52" s="413"/>
      <c r="D52" s="413"/>
      <c r="E52" s="569"/>
    </row>
    <row r="53" spans="1:5" ht="15" customHeight="1">
      <c r="A53" s="564" t="s">
        <v>79</v>
      </c>
      <c r="B53" s="340" t="s">
        <v>44</v>
      </c>
      <c r="C53" s="413"/>
      <c r="D53" s="413"/>
      <c r="E53" s="569"/>
    </row>
    <row r="54" spans="1:5" ht="13.5" thickBot="1">
      <c r="A54" s="564" t="s">
        <v>80</v>
      </c>
      <c r="B54" s="340" t="s">
        <v>673</v>
      </c>
      <c r="C54" s="413"/>
      <c r="D54" s="413"/>
      <c r="E54" s="569"/>
    </row>
    <row r="55" spans="1:5" ht="15" customHeight="1" thickBot="1">
      <c r="A55" s="551" t="s">
        <v>9</v>
      </c>
      <c r="B55" s="555" t="s">
        <v>568</v>
      </c>
      <c r="C55" s="109">
        <f>+C44+C50</f>
        <v>0</v>
      </c>
      <c r="D55" s="109">
        <f>+D44+D50</f>
        <v>0</v>
      </c>
      <c r="E55" s="559">
        <f>+E44+E50</f>
        <v>0</v>
      </c>
    </row>
    <row r="56" spans="1:5" ht="13.5" thickBot="1">
      <c r="C56" s="560"/>
      <c r="D56" s="560"/>
      <c r="E56" s="560"/>
    </row>
    <row r="57" spans="1:5" ht="13.5" thickBot="1">
      <c r="A57" s="647" t="s">
        <v>729</v>
      </c>
      <c r="B57" s="648"/>
      <c r="C57" s="113"/>
      <c r="D57" s="113"/>
      <c r="E57" s="549"/>
    </row>
    <row r="58" spans="1:5" ht="13.5" thickBot="1">
      <c r="A58" s="649" t="s">
        <v>728</v>
      </c>
      <c r="B58" s="650"/>
      <c r="C58" s="113"/>
      <c r="D58" s="113"/>
      <c r="E58" s="549"/>
    </row>
  </sheetData>
  <sheetProtection formatCells="0"/>
  <mergeCells count="4">
    <mergeCell ref="B2:D2"/>
    <mergeCell ref="B3:D3"/>
    <mergeCell ref="A7:E7"/>
    <mergeCell ref="A43:E43"/>
  </mergeCells>
  <phoneticPr fontId="27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92D050"/>
  </sheetPr>
  <dimension ref="A1:E58"/>
  <sheetViews>
    <sheetView zoomScaleNormal="100" zoomScaleSheetLayoutView="145" workbookViewId="0">
      <selection activeCell="E1" sqref="E1"/>
    </sheetView>
  </sheetViews>
  <sheetFormatPr defaultRowHeight="12.75"/>
  <cols>
    <col min="1" max="1" width="18.6640625" style="556" customWidth="1"/>
    <col min="2" max="2" width="62" style="32" customWidth="1"/>
    <col min="3" max="5" width="15.83203125" style="32" customWidth="1"/>
    <col min="6" max="16384" width="9.33203125" style="32"/>
  </cols>
  <sheetData>
    <row r="1" spans="1:5" s="491" customFormat="1" ht="21" customHeight="1" thickBot="1">
      <c r="A1" s="490"/>
      <c r="B1" s="492"/>
      <c r="C1" s="537"/>
      <c r="D1" s="537"/>
      <c r="E1" s="630" t="str">
        <f>+CONCATENATE("8.3.3. melléklet a 15/",LEFT(ÖSSZEFÜGGÉSEK!A4,4)+1,". (V. 30.) önkormányzati rendelethez")</f>
        <v>8.3.3. melléklet a 15/2017. (V. 30.) önkormányzati rendelethez</v>
      </c>
    </row>
    <row r="2" spans="1:5" s="538" customFormat="1" ht="25.5" customHeight="1">
      <c r="A2" s="518" t="s">
        <v>147</v>
      </c>
      <c r="B2" s="866" t="s">
        <v>735</v>
      </c>
      <c r="C2" s="867"/>
      <c r="D2" s="868"/>
      <c r="E2" s="561" t="s">
        <v>50</v>
      </c>
    </row>
    <row r="3" spans="1:5" s="538" customFormat="1" ht="24.75" thickBot="1">
      <c r="A3" s="536" t="s">
        <v>146</v>
      </c>
      <c r="B3" s="869" t="s">
        <v>677</v>
      </c>
      <c r="C3" s="872"/>
      <c r="D3" s="873"/>
      <c r="E3" s="562" t="s">
        <v>49</v>
      </c>
    </row>
    <row r="4" spans="1:5" s="539" customFormat="1" ht="15.95" customHeight="1" thickBot="1">
      <c r="A4" s="493"/>
      <c r="B4" s="493"/>
      <c r="C4" s="494"/>
      <c r="D4" s="494"/>
      <c r="E4" s="494" t="s">
        <v>769</v>
      </c>
    </row>
    <row r="5" spans="1:5" ht="24.75" thickBot="1">
      <c r="A5" s="325" t="s">
        <v>148</v>
      </c>
      <c r="B5" s="326" t="s">
        <v>727</v>
      </c>
      <c r="C5" s="97" t="s">
        <v>178</v>
      </c>
      <c r="D5" s="97" t="s">
        <v>183</v>
      </c>
      <c r="E5" s="495" t="s">
        <v>184</v>
      </c>
    </row>
    <row r="6" spans="1:5" s="540" customFormat="1" ht="12.95" customHeight="1" thickBot="1">
      <c r="A6" s="488" t="s">
        <v>409</v>
      </c>
      <c r="B6" s="489" t="s">
        <v>410</v>
      </c>
      <c r="C6" s="489" t="s">
        <v>411</v>
      </c>
      <c r="D6" s="112" t="s">
        <v>412</v>
      </c>
      <c r="E6" s="110" t="s">
        <v>413</v>
      </c>
    </row>
    <row r="7" spans="1:5" s="540" customFormat="1" ht="15.95" customHeight="1" thickBot="1">
      <c r="A7" s="863" t="s">
        <v>42</v>
      </c>
      <c r="B7" s="864"/>
      <c r="C7" s="864"/>
      <c r="D7" s="864"/>
      <c r="E7" s="865"/>
    </row>
    <row r="8" spans="1:5" s="514" customFormat="1" ht="12" customHeight="1" thickBot="1">
      <c r="A8" s="488" t="s">
        <v>7</v>
      </c>
      <c r="B8" s="552" t="s">
        <v>549</v>
      </c>
      <c r="C8" s="419">
        <f>SUM(C9:C18)</f>
        <v>0</v>
      </c>
      <c r="D8" s="581">
        <f>SUM(D9:D18)</f>
        <v>0</v>
      </c>
      <c r="E8" s="558">
        <f>SUM(E9:E18)</f>
        <v>0</v>
      </c>
    </row>
    <row r="9" spans="1:5" s="514" customFormat="1" ht="12" customHeight="1">
      <c r="A9" s="563" t="s">
        <v>71</v>
      </c>
      <c r="B9" s="342" t="s">
        <v>328</v>
      </c>
      <c r="C9" s="106"/>
      <c r="D9" s="582"/>
      <c r="E9" s="547"/>
    </row>
    <row r="10" spans="1:5" s="514" customFormat="1" ht="12" customHeight="1">
      <c r="A10" s="564" t="s">
        <v>72</v>
      </c>
      <c r="B10" s="340" t="s">
        <v>329</v>
      </c>
      <c r="C10" s="416"/>
      <c r="D10" s="583"/>
      <c r="E10" s="115"/>
    </row>
    <row r="11" spans="1:5" s="514" customFormat="1" ht="12" customHeight="1">
      <c r="A11" s="564" t="s">
        <v>73</v>
      </c>
      <c r="B11" s="340" t="s">
        <v>330</v>
      </c>
      <c r="C11" s="416"/>
      <c r="D11" s="583"/>
      <c r="E11" s="115"/>
    </row>
    <row r="12" spans="1:5" s="514" customFormat="1" ht="12" customHeight="1">
      <c r="A12" s="564" t="s">
        <v>74</v>
      </c>
      <c r="B12" s="340" t="s">
        <v>331</v>
      </c>
      <c r="C12" s="416"/>
      <c r="D12" s="583"/>
      <c r="E12" s="115"/>
    </row>
    <row r="13" spans="1:5" s="514" customFormat="1" ht="12" customHeight="1">
      <c r="A13" s="564" t="s">
        <v>107</v>
      </c>
      <c r="B13" s="340" t="s">
        <v>332</v>
      </c>
      <c r="C13" s="416"/>
      <c r="D13" s="583"/>
      <c r="E13" s="115"/>
    </row>
    <row r="14" spans="1:5" s="514" customFormat="1" ht="12" customHeight="1">
      <c r="A14" s="564" t="s">
        <v>75</v>
      </c>
      <c r="B14" s="340" t="s">
        <v>550</v>
      </c>
      <c r="C14" s="416"/>
      <c r="D14" s="583"/>
      <c r="E14" s="115"/>
    </row>
    <row r="15" spans="1:5" s="541" customFormat="1" ht="12" customHeight="1">
      <c r="A15" s="564" t="s">
        <v>76</v>
      </c>
      <c r="B15" s="339" t="s">
        <v>551</v>
      </c>
      <c r="C15" s="416"/>
      <c r="D15" s="583"/>
      <c r="E15" s="115"/>
    </row>
    <row r="16" spans="1:5" s="541" customFormat="1" ht="12" customHeight="1">
      <c r="A16" s="564" t="s">
        <v>84</v>
      </c>
      <c r="B16" s="340" t="s">
        <v>335</v>
      </c>
      <c r="C16" s="107"/>
      <c r="D16" s="584"/>
      <c r="E16" s="546"/>
    </row>
    <row r="17" spans="1:5" s="514" customFormat="1" ht="12" customHeight="1">
      <c r="A17" s="564" t="s">
        <v>85</v>
      </c>
      <c r="B17" s="340" t="s">
        <v>337</v>
      </c>
      <c r="C17" s="416"/>
      <c r="D17" s="583"/>
      <c r="E17" s="115"/>
    </row>
    <row r="18" spans="1:5" s="541" customFormat="1" ht="12" customHeight="1" thickBot="1">
      <c r="A18" s="564" t="s">
        <v>86</v>
      </c>
      <c r="B18" s="339" t="s">
        <v>339</v>
      </c>
      <c r="C18" s="418"/>
      <c r="D18" s="116"/>
      <c r="E18" s="542"/>
    </row>
    <row r="19" spans="1:5" s="541" customFormat="1" ht="12" customHeight="1" thickBot="1">
      <c r="A19" s="488" t="s">
        <v>8</v>
      </c>
      <c r="B19" s="552" t="s">
        <v>552</v>
      </c>
      <c r="C19" s="419">
        <f>SUM(C20:C22)</f>
        <v>0</v>
      </c>
      <c r="D19" s="581">
        <f>SUM(D20:D22)</f>
        <v>0</v>
      </c>
      <c r="E19" s="558">
        <f>SUM(E20:E22)</f>
        <v>0</v>
      </c>
    </row>
    <row r="20" spans="1:5" s="541" customFormat="1" ht="12" customHeight="1">
      <c r="A20" s="564" t="s">
        <v>77</v>
      </c>
      <c r="B20" s="341" t="s">
        <v>309</v>
      </c>
      <c r="C20" s="416"/>
      <c r="D20" s="583"/>
      <c r="E20" s="115"/>
    </row>
    <row r="21" spans="1:5" s="541" customFormat="1" ht="12" customHeight="1">
      <c r="A21" s="564" t="s">
        <v>78</v>
      </c>
      <c r="B21" s="340" t="s">
        <v>553</v>
      </c>
      <c r="C21" s="416"/>
      <c r="D21" s="583"/>
      <c r="E21" s="115"/>
    </row>
    <row r="22" spans="1:5" s="541" customFormat="1" ht="12" customHeight="1">
      <c r="A22" s="564" t="s">
        <v>79</v>
      </c>
      <c r="B22" s="340" t="s">
        <v>554</v>
      </c>
      <c r="C22" s="416"/>
      <c r="D22" s="583"/>
      <c r="E22" s="115"/>
    </row>
    <row r="23" spans="1:5" s="514" customFormat="1" ht="12" customHeight="1" thickBot="1">
      <c r="A23" s="564" t="s">
        <v>80</v>
      </c>
      <c r="B23" s="340" t="s">
        <v>671</v>
      </c>
      <c r="C23" s="416"/>
      <c r="D23" s="583"/>
      <c r="E23" s="115"/>
    </row>
    <row r="24" spans="1:5" s="514" customFormat="1" ht="12" customHeight="1" thickBot="1">
      <c r="A24" s="551" t="s">
        <v>9</v>
      </c>
      <c r="B24" s="360" t="s">
        <v>124</v>
      </c>
      <c r="C24" s="41"/>
      <c r="D24" s="585"/>
      <c r="E24" s="557"/>
    </row>
    <row r="25" spans="1:5" s="514" customFormat="1" ht="12" customHeight="1" thickBot="1">
      <c r="A25" s="551" t="s">
        <v>10</v>
      </c>
      <c r="B25" s="360" t="s">
        <v>555</v>
      </c>
      <c r="C25" s="419">
        <f>+C26+C27</f>
        <v>0</v>
      </c>
      <c r="D25" s="581">
        <f>+D26+D27</f>
        <v>0</v>
      </c>
      <c r="E25" s="558">
        <f>+E26+E27</f>
        <v>0</v>
      </c>
    </row>
    <row r="26" spans="1:5" s="514" customFormat="1" ht="12" customHeight="1">
      <c r="A26" s="565" t="s">
        <v>322</v>
      </c>
      <c r="B26" s="566" t="s">
        <v>553</v>
      </c>
      <c r="C26" s="103"/>
      <c r="D26" s="572"/>
      <c r="E26" s="545"/>
    </row>
    <row r="27" spans="1:5" s="514" customFormat="1" ht="12" customHeight="1">
      <c r="A27" s="565" t="s">
        <v>323</v>
      </c>
      <c r="B27" s="567" t="s">
        <v>556</v>
      </c>
      <c r="C27" s="420"/>
      <c r="D27" s="586"/>
      <c r="E27" s="544"/>
    </row>
    <row r="28" spans="1:5" s="514" customFormat="1" ht="12" customHeight="1" thickBot="1">
      <c r="A28" s="564" t="s">
        <v>324</v>
      </c>
      <c r="B28" s="568" t="s">
        <v>672</v>
      </c>
      <c r="C28" s="548"/>
      <c r="D28" s="587"/>
      <c r="E28" s="543"/>
    </row>
    <row r="29" spans="1:5" s="514" customFormat="1" ht="12" customHeight="1" thickBot="1">
      <c r="A29" s="551" t="s">
        <v>11</v>
      </c>
      <c r="B29" s="360" t="s">
        <v>557</v>
      </c>
      <c r="C29" s="419">
        <f>+C30+C31+C32</f>
        <v>0</v>
      </c>
      <c r="D29" s="581">
        <f>+D30+D31+D32</f>
        <v>0</v>
      </c>
      <c r="E29" s="558">
        <f>+E30+E31+E32</f>
        <v>0</v>
      </c>
    </row>
    <row r="30" spans="1:5" s="514" customFormat="1" ht="12" customHeight="1">
      <c r="A30" s="565" t="s">
        <v>64</v>
      </c>
      <c r="B30" s="566" t="s">
        <v>341</v>
      </c>
      <c r="C30" s="103"/>
      <c r="D30" s="572"/>
      <c r="E30" s="545"/>
    </row>
    <row r="31" spans="1:5" s="514" customFormat="1" ht="12" customHeight="1">
      <c r="A31" s="565" t="s">
        <v>65</v>
      </c>
      <c r="B31" s="567" t="s">
        <v>342</v>
      </c>
      <c r="C31" s="420"/>
      <c r="D31" s="586"/>
      <c r="E31" s="544"/>
    </row>
    <row r="32" spans="1:5" s="514" customFormat="1" ht="12" customHeight="1" thickBot="1">
      <c r="A32" s="564" t="s">
        <v>66</v>
      </c>
      <c r="B32" s="550" t="s">
        <v>344</v>
      </c>
      <c r="C32" s="548"/>
      <c r="D32" s="587"/>
      <c r="E32" s="543"/>
    </row>
    <row r="33" spans="1:5" s="514" customFormat="1" ht="12" customHeight="1" thickBot="1">
      <c r="A33" s="551" t="s">
        <v>12</v>
      </c>
      <c r="B33" s="360" t="s">
        <v>469</v>
      </c>
      <c r="C33" s="41"/>
      <c r="D33" s="585"/>
      <c r="E33" s="557"/>
    </row>
    <row r="34" spans="1:5" s="514" customFormat="1" ht="12" customHeight="1" thickBot="1">
      <c r="A34" s="551" t="s">
        <v>13</v>
      </c>
      <c r="B34" s="360" t="s">
        <v>558</v>
      </c>
      <c r="C34" s="41"/>
      <c r="D34" s="585"/>
      <c r="E34" s="557"/>
    </row>
    <row r="35" spans="1:5" s="514" customFormat="1" ht="12" customHeight="1" thickBot="1">
      <c r="A35" s="488" t="s">
        <v>14</v>
      </c>
      <c r="B35" s="360" t="s">
        <v>559</v>
      </c>
      <c r="C35" s="419">
        <f>+C8+C19+C24+C25+C29+C33+C34</f>
        <v>0</v>
      </c>
      <c r="D35" s="581">
        <f>+D8+D19+D24+D25+D29+D33+D34</f>
        <v>0</v>
      </c>
      <c r="E35" s="558">
        <f>+E8+E19+E24+E25+E29+E33+E34</f>
        <v>0</v>
      </c>
    </row>
    <row r="36" spans="1:5" s="541" customFormat="1" ht="12" customHeight="1" thickBot="1">
      <c r="A36" s="553" t="s">
        <v>15</v>
      </c>
      <c r="B36" s="360" t="s">
        <v>560</v>
      </c>
      <c r="C36" s="419">
        <f>+C37+C38+C39</f>
        <v>0</v>
      </c>
      <c r="D36" s="581">
        <f>+D37+D38+D39</f>
        <v>0</v>
      </c>
      <c r="E36" s="558">
        <f>+E37+E38+E39</f>
        <v>0</v>
      </c>
    </row>
    <row r="37" spans="1:5" s="541" customFormat="1" ht="15" customHeight="1">
      <c r="A37" s="565" t="s">
        <v>561</v>
      </c>
      <c r="B37" s="566" t="s">
        <v>165</v>
      </c>
      <c r="C37" s="103"/>
      <c r="D37" s="572"/>
      <c r="E37" s="545"/>
    </row>
    <row r="38" spans="1:5" s="541" customFormat="1" ht="15" customHeight="1">
      <c r="A38" s="565" t="s">
        <v>562</v>
      </c>
      <c r="B38" s="567" t="s">
        <v>3</v>
      </c>
      <c r="C38" s="420"/>
      <c r="D38" s="586"/>
      <c r="E38" s="544"/>
    </row>
    <row r="39" spans="1:5" ht="13.5" thickBot="1">
      <c r="A39" s="564" t="s">
        <v>563</v>
      </c>
      <c r="B39" s="550" t="s">
        <v>564</v>
      </c>
      <c r="C39" s="548"/>
      <c r="D39" s="587"/>
      <c r="E39" s="543"/>
    </row>
    <row r="40" spans="1:5" s="540" customFormat="1" ht="16.5" customHeight="1" thickBot="1">
      <c r="A40" s="553" t="s">
        <v>16</v>
      </c>
      <c r="B40" s="554" t="s">
        <v>565</v>
      </c>
      <c r="C40" s="109">
        <f>+C35+C36</f>
        <v>0</v>
      </c>
      <c r="D40" s="588">
        <f>+D35+D36</f>
        <v>0</v>
      </c>
      <c r="E40" s="559">
        <f>+E35+E36</f>
        <v>0</v>
      </c>
    </row>
    <row r="41" spans="1:5" s="315" customFormat="1" ht="12" customHeight="1">
      <c r="A41" s="496"/>
      <c r="B41" s="497"/>
      <c r="C41" s="512"/>
      <c r="D41" s="512"/>
      <c r="E41" s="512"/>
    </row>
    <row r="42" spans="1:5" ht="12" customHeight="1" thickBot="1">
      <c r="A42" s="498"/>
      <c r="B42" s="499"/>
      <c r="C42" s="513"/>
      <c r="D42" s="513"/>
      <c r="E42" s="513"/>
    </row>
    <row r="43" spans="1:5" ht="12" customHeight="1" thickBot="1">
      <c r="A43" s="863" t="s">
        <v>43</v>
      </c>
      <c r="B43" s="864"/>
      <c r="C43" s="864"/>
      <c r="D43" s="864"/>
      <c r="E43" s="865"/>
    </row>
    <row r="44" spans="1:5" ht="12" customHeight="1" thickBot="1">
      <c r="A44" s="551" t="s">
        <v>7</v>
      </c>
      <c r="B44" s="360" t="s">
        <v>566</v>
      </c>
      <c r="C44" s="419">
        <f>SUM(C45:C49)</f>
        <v>0</v>
      </c>
      <c r="D44" s="419">
        <f>SUM(D45:D49)</f>
        <v>0</v>
      </c>
      <c r="E44" s="558">
        <f>SUM(E45:E49)</f>
        <v>0</v>
      </c>
    </row>
    <row r="45" spans="1:5" ht="12" customHeight="1">
      <c r="A45" s="564" t="s">
        <v>71</v>
      </c>
      <c r="B45" s="341" t="s">
        <v>37</v>
      </c>
      <c r="C45" s="103"/>
      <c r="D45" s="103"/>
      <c r="E45" s="545"/>
    </row>
    <row r="46" spans="1:5" ht="12" customHeight="1">
      <c r="A46" s="564" t="s">
        <v>72</v>
      </c>
      <c r="B46" s="340" t="s">
        <v>133</v>
      </c>
      <c r="C46" s="413"/>
      <c r="D46" s="413"/>
      <c r="E46" s="569"/>
    </row>
    <row r="47" spans="1:5" ht="12" customHeight="1">
      <c r="A47" s="564" t="s">
        <v>73</v>
      </c>
      <c r="B47" s="340" t="s">
        <v>100</v>
      </c>
      <c r="C47" s="413"/>
      <c r="D47" s="413"/>
      <c r="E47" s="569"/>
    </row>
    <row r="48" spans="1:5" s="315" customFormat="1" ht="12" customHeight="1">
      <c r="A48" s="564" t="s">
        <v>74</v>
      </c>
      <c r="B48" s="340" t="s">
        <v>134</v>
      </c>
      <c r="C48" s="413"/>
      <c r="D48" s="413"/>
      <c r="E48" s="569"/>
    </row>
    <row r="49" spans="1:5" ht="12" customHeight="1" thickBot="1">
      <c r="A49" s="564" t="s">
        <v>107</v>
      </c>
      <c r="B49" s="340" t="s">
        <v>135</v>
      </c>
      <c r="C49" s="413"/>
      <c r="D49" s="413"/>
      <c r="E49" s="569"/>
    </row>
    <row r="50" spans="1:5" ht="12" customHeight="1" thickBot="1">
      <c r="A50" s="551" t="s">
        <v>8</v>
      </c>
      <c r="B50" s="360" t="s">
        <v>567</v>
      </c>
      <c r="C50" s="419">
        <f>SUM(C51:C53)</f>
        <v>0</v>
      </c>
      <c r="D50" s="419">
        <f>SUM(D51:D53)</f>
        <v>0</v>
      </c>
      <c r="E50" s="558">
        <f>SUM(E51:E53)</f>
        <v>0</v>
      </c>
    </row>
    <row r="51" spans="1:5" ht="12" customHeight="1">
      <c r="A51" s="564" t="s">
        <v>77</v>
      </c>
      <c r="B51" s="341" t="s">
        <v>155</v>
      </c>
      <c r="C51" s="103"/>
      <c r="D51" s="103"/>
      <c r="E51" s="545"/>
    </row>
    <row r="52" spans="1:5" ht="12" customHeight="1">
      <c r="A52" s="564" t="s">
        <v>78</v>
      </c>
      <c r="B52" s="340" t="s">
        <v>137</v>
      </c>
      <c r="C52" s="413"/>
      <c r="D52" s="413"/>
      <c r="E52" s="569"/>
    </row>
    <row r="53" spans="1:5" ht="15" customHeight="1">
      <c r="A53" s="564" t="s">
        <v>79</v>
      </c>
      <c r="B53" s="340" t="s">
        <v>44</v>
      </c>
      <c r="C53" s="413"/>
      <c r="D53" s="413"/>
      <c r="E53" s="569"/>
    </row>
    <row r="54" spans="1:5" ht="13.5" thickBot="1">
      <c r="A54" s="564" t="s">
        <v>80</v>
      </c>
      <c r="B54" s="340" t="s">
        <v>673</v>
      </c>
      <c r="C54" s="413"/>
      <c r="D54" s="413"/>
      <c r="E54" s="569"/>
    </row>
    <row r="55" spans="1:5" ht="15" customHeight="1" thickBot="1">
      <c r="A55" s="551" t="s">
        <v>9</v>
      </c>
      <c r="B55" s="555" t="s">
        <v>568</v>
      </c>
      <c r="C55" s="109">
        <f>+C44+C50</f>
        <v>0</v>
      </c>
      <c r="D55" s="109">
        <f>+D44+D50</f>
        <v>0</v>
      </c>
      <c r="E55" s="559">
        <f>+E44+E50</f>
        <v>0</v>
      </c>
    </row>
    <row r="56" spans="1:5" ht="13.5" thickBot="1">
      <c r="C56" s="560"/>
      <c r="D56" s="560"/>
      <c r="E56" s="560"/>
    </row>
    <row r="57" spans="1:5" ht="13.5" thickBot="1">
      <c r="A57" s="647" t="s">
        <v>729</v>
      </c>
      <c r="B57" s="648"/>
      <c r="C57" s="113"/>
      <c r="D57" s="113"/>
      <c r="E57" s="549"/>
    </row>
    <row r="58" spans="1:5" ht="13.5" thickBot="1">
      <c r="A58" s="649" t="s">
        <v>728</v>
      </c>
      <c r="B58" s="650"/>
      <c r="C58" s="113"/>
      <c r="D58" s="113"/>
      <c r="E58" s="549"/>
    </row>
  </sheetData>
  <sheetProtection formatCells="0"/>
  <mergeCells count="4">
    <mergeCell ref="B2:D2"/>
    <mergeCell ref="B3:D3"/>
    <mergeCell ref="A7:E7"/>
    <mergeCell ref="A43:E43"/>
  </mergeCells>
  <phoneticPr fontId="27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92D050"/>
  </sheetPr>
  <dimension ref="A1:F36"/>
  <sheetViews>
    <sheetView view="pageLayout" zoomScaleNormal="100" workbookViewId="0">
      <selection activeCell="F5" sqref="F5"/>
    </sheetView>
  </sheetViews>
  <sheetFormatPr defaultRowHeight="12.75"/>
  <cols>
    <col min="1" max="1" width="7" style="313" customWidth="1"/>
    <col min="2" max="2" width="32" style="32" customWidth="1"/>
    <col min="3" max="3" width="12.5" style="32" customWidth="1"/>
    <col min="4" max="5" width="11.83203125" style="32" customWidth="1"/>
    <col min="6" max="6" width="14.6640625" style="32" customWidth="1"/>
    <col min="7" max="16384" width="9.33203125" style="32"/>
  </cols>
  <sheetData>
    <row r="1" spans="1:6" ht="14.25" thickBot="1">
      <c r="F1" s="39" t="s">
        <v>769</v>
      </c>
    </row>
    <row r="2" spans="1:6" ht="24.75" customHeight="1" thickBot="1">
      <c r="A2" s="876" t="s">
        <v>5</v>
      </c>
      <c r="B2" s="878" t="s">
        <v>300</v>
      </c>
      <c r="C2" s="878" t="s">
        <v>674</v>
      </c>
      <c r="D2" s="878" t="s">
        <v>716</v>
      </c>
      <c r="E2" s="880" t="s">
        <v>675</v>
      </c>
      <c r="F2" s="881"/>
    </row>
    <row r="3" spans="1:6" s="314" customFormat="1" ht="57.75" customHeight="1" thickBot="1">
      <c r="A3" s="877"/>
      <c r="B3" s="879"/>
      <c r="C3" s="879"/>
      <c r="D3" s="879"/>
      <c r="E3" s="30" t="s">
        <v>676</v>
      </c>
      <c r="F3" s="645" t="s">
        <v>879</v>
      </c>
    </row>
    <row r="4" spans="1:6" s="315" customFormat="1" ht="15" customHeight="1" thickBot="1">
      <c r="A4" s="488" t="s">
        <v>409</v>
      </c>
      <c r="B4" s="489" t="s">
        <v>410</v>
      </c>
      <c r="C4" s="489" t="s">
        <v>411</v>
      </c>
      <c r="D4" s="489" t="s">
        <v>412</v>
      </c>
      <c r="E4" s="489" t="s">
        <v>717</v>
      </c>
      <c r="F4" s="573" t="s">
        <v>490</v>
      </c>
    </row>
    <row r="5" spans="1:6" ht="15" customHeight="1">
      <c r="A5" s="316" t="s">
        <v>7</v>
      </c>
      <c r="B5" s="317" t="s">
        <v>731</v>
      </c>
      <c r="C5" s="318">
        <v>189394975</v>
      </c>
      <c r="D5" s="318"/>
      <c r="E5" s="319">
        <f>C5+D5</f>
        <v>189394975</v>
      </c>
      <c r="F5" s="320">
        <v>70349342</v>
      </c>
    </row>
    <row r="6" spans="1:6" ht="15" customHeight="1">
      <c r="A6" s="321" t="s">
        <v>8</v>
      </c>
      <c r="B6" s="322" t="s">
        <v>732</v>
      </c>
      <c r="C6" s="2">
        <v>-3283396</v>
      </c>
      <c r="D6" s="2">
        <v>3283396</v>
      </c>
      <c r="E6" s="319">
        <f t="shared" ref="E6:E35" si="0">C6+D6</f>
        <v>0</v>
      </c>
      <c r="F6" s="180"/>
    </row>
    <row r="7" spans="1:6" ht="15" customHeight="1">
      <c r="A7" s="321" t="s">
        <v>9</v>
      </c>
      <c r="B7" s="322" t="s">
        <v>733</v>
      </c>
      <c r="C7" s="2">
        <v>-3401312</v>
      </c>
      <c r="D7" s="2">
        <v>3401312</v>
      </c>
      <c r="E7" s="319">
        <f t="shared" si="0"/>
        <v>0</v>
      </c>
      <c r="F7" s="180"/>
    </row>
    <row r="8" spans="1:6" ht="15" customHeight="1">
      <c r="A8" s="321" t="s">
        <v>10</v>
      </c>
      <c r="B8" s="322" t="s">
        <v>734</v>
      </c>
      <c r="C8" s="2">
        <v>1355122</v>
      </c>
      <c r="D8" s="2"/>
      <c r="E8" s="319">
        <f t="shared" si="0"/>
        <v>1355122</v>
      </c>
      <c r="F8" s="180">
        <v>1355122</v>
      </c>
    </row>
    <row r="9" spans="1:6" ht="15" customHeight="1">
      <c r="A9" s="321" t="s">
        <v>11</v>
      </c>
      <c r="B9" s="322" t="s">
        <v>735</v>
      </c>
      <c r="C9" s="2">
        <v>-3147663</v>
      </c>
      <c r="D9" s="2">
        <v>3147663</v>
      </c>
      <c r="E9" s="319">
        <f t="shared" si="0"/>
        <v>0</v>
      </c>
      <c r="F9" s="180"/>
    </row>
    <row r="10" spans="1:6" ht="15" customHeight="1">
      <c r="A10" s="321" t="s">
        <v>12</v>
      </c>
      <c r="B10" s="322"/>
      <c r="C10" s="2"/>
      <c r="D10" s="2"/>
      <c r="E10" s="319">
        <f t="shared" si="0"/>
        <v>0</v>
      </c>
      <c r="F10" s="180"/>
    </row>
    <row r="11" spans="1:6" ht="15" customHeight="1">
      <c r="A11" s="321" t="s">
        <v>13</v>
      </c>
      <c r="B11" s="322"/>
      <c r="C11" s="2"/>
      <c r="D11" s="2"/>
      <c r="E11" s="319">
        <f t="shared" si="0"/>
        <v>0</v>
      </c>
      <c r="F11" s="180"/>
    </row>
    <row r="12" spans="1:6" ht="15" customHeight="1">
      <c r="A12" s="321" t="s">
        <v>14</v>
      </c>
      <c r="B12" s="322"/>
      <c r="C12" s="2"/>
      <c r="D12" s="2"/>
      <c r="E12" s="319">
        <f t="shared" si="0"/>
        <v>0</v>
      </c>
      <c r="F12" s="180"/>
    </row>
    <row r="13" spans="1:6" ht="15" customHeight="1">
      <c r="A13" s="321" t="s">
        <v>15</v>
      </c>
      <c r="B13" s="322"/>
      <c r="C13" s="2"/>
      <c r="D13" s="2"/>
      <c r="E13" s="319">
        <f t="shared" si="0"/>
        <v>0</v>
      </c>
      <c r="F13" s="180"/>
    </row>
    <row r="14" spans="1:6" ht="15" customHeight="1">
      <c r="A14" s="321" t="s">
        <v>16</v>
      </c>
      <c r="B14" s="322"/>
      <c r="C14" s="2"/>
      <c r="D14" s="2"/>
      <c r="E14" s="319">
        <f t="shared" si="0"/>
        <v>0</v>
      </c>
      <c r="F14" s="180"/>
    </row>
    <row r="15" spans="1:6" ht="15" customHeight="1">
      <c r="A15" s="321" t="s">
        <v>17</v>
      </c>
      <c r="B15" s="322"/>
      <c r="C15" s="2"/>
      <c r="D15" s="2"/>
      <c r="E15" s="319">
        <f t="shared" si="0"/>
        <v>0</v>
      </c>
      <c r="F15" s="180"/>
    </row>
    <row r="16" spans="1:6" ht="15" customHeight="1">
      <c r="A16" s="321" t="s">
        <v>18</v>
      </c>
      <c r="B16" s="322"/>
      <c r="C16" s="2"/>
      <c r="D16" s="2"/>
      <c r="E16" s="319">
        <f t="shared" si="0"/>
        <v>0</v>
      </c>
      <c r="F16" s="180"/>
    </row>
    <row r="17" spans="1:6" ht="15" customHeight="1">
      <c r="A17" s="321" t="s">
        <v>19</v>
      </c>
      <c r="B17" s="322"/>
      <c r="C17" s="2"/>
      <c r="D17" s="2"/>
      <c r="E17" s="319">
        <f t="shared" si="0"/>
        <v>0</v>
      </c>
      <c r="F17" s="180"/>
    </row>
    <row r="18" spans="1:6" ht="15" customHeight="1">
      <c r="A18" s="321" t="s">
        <v>20</v>
      </c>
      <c r="B18" s="322"/>
      <c r="C18" s="2"/>
      <c r="D18" s="2"/>
      <c r="E18" s="319">
        <f t="shared" si="0"/>
        <v>0</v>
      </c>
      <c r="F18" s="180"/>
    </row>
    <row r="19" spans="1:6" ht="15" customHeight="1">
      <c r="A19" s="321" t="s">
        <v>21</v>
      </c>
      <c r="B19" s="322"/>
      <c r="C19" s="2"/>
      <c r="D19" s="2"/>
      <c r="E19" s="319">
        <f t="shared" si="0"/>
        <v>0</v>
      </c>
      <c r="F19" s="180"/>
    </row>
    <row r="20" spans="1:6" ht="15" customHeight="1">
      <c r="A20" s="321" t="s">
        <v>22</v>
      </c>
      <c r="B20" s="322"/>
      <c r="C20" s="2"/>
      <c r="D20" s="2"/>
      <c r="E20" s="319">
        <f t="shared" si="0"/>
        <v>0</v>
      </c>
      <c r="F20" s="180"/>
    </row>
    <row r="21" spans="1:6" ht="15" customHeight="1">
      <c r="A21" s="321" t="s">
        <v>23</v>
      </c>
      <c r="B21" s="322"/>
      <c r="C21" s="2"/>
      <c r="D21" s="2"/>
      <c r="E21" s="319">
        <f t="shared" si="0"/>
        <v>0</v>
      </c>
      <c r="F21" s="180"/>
    </row>
    <row r="22" spans="1:6" ht="15" customHeight="1">
      <c r="A22" s="321" t="s">
        <v>24</v>
      </c>
      <c r="B22" s="322"/>
      <c r="C22" s="2"/>
      <c r="D22" s="2"/>
      <c r="E22" s="319">
        <f t="shared" si="0"/>
        <v>0</v>
      </c>
      <c r="F22" s="180"/>
    </row>
    <row r="23" spans="1:6" ht="15" customHeight="1">
      <c r="A23" s="321" t="s">
        <v>25</v>
      </c>
      <c r="B23" s="322"/>
      <c r="C23" s="2"/>
      <c r="D23" s="2"/>
      <c r="E23" s="319">
        <f t="shared" si="0"/>
        <v>0</v>
      </c>
      <c r="F23" s="180"/>
    </row>
    <row r="24" spans="1:6" ht="15" customHeight="1">
      <c r="A24" s="321" t="s">
        <v>26</v>
      </c>
      <c r="B24" s="322"/>
      <c r="C24" s="2"/>
      <c r="D24" s="2"/>
      <c r="E24" s="319">
        <f t="shared" si="0"/>
        <v>0</v>
      </c>
      <c r="F24" s="180"/>
    </row>
    <row r="25" spans="1:6" ht="15" customHeight="1">
      <c r="A25" s="321" t="s">
        <v>27</v>
      </c>
      <c r="B25" s="322"/>
      <c r="C25" s="2"/>
      <c r="D25" s="2"/>
      <c r="E25" s="319">
        <f t="shared" si="0"/>
        <v>0</v>
      </c>
      <c r="F25" s="180"/>
    </row>
    <row r="26" spans="1:6" ht="15" customHeight="1">
      <c r="A26" s="321" t="s">
        <v>28</v>
      </c>
      <c r="B26" s="322"/>
      <c r="C26" s="2"/>
      <c r="D26" s="2"/>
      <c r="E26" s="319">
        <f t="shared" si="0"/>
        <v>0</v>
      </c>
      <c r="F26" s="180"/>
    </row>
    <row r="27" spans="1:6" ht="15" customHeight="1">
      <c r="A27" s="321" t="s">
        <v>29</v>
      </c>
      <c r="B27" s="322"/>
      <c r="C27" s="2"/>
      <c r="D27" s="2"/>
      <c r="E27" s="319">
        <f t="shared" si="0"/>
        <v>0</v>
      </c>
      <c r="F27" s="180"/>
    </row>
    <row r="28" spans="1:6" ht="15" customHeight="1">
      <c r="A28" s="321" t="s">
        <v>30</v>
      </c>
      <c r="B28" s="322"/>
      <c r="C28" s="2"/>
      <c r="D28" s="2"/>
      <c r="E28" s="319">
        <f t="shared" si="0"/>
        <v>0</v>
      </c>
      <c r="F28" s="180"/>
    </row>
    <row r="29" spans="1:6" ht="15" customHeight="1">
      <c r="A29" s="321" t="s">
        <v>31</v>
      </c>
      <c r="B29" s="322"/>
      <c r="C29" s="2"/>
      <c r="D29" s="2"/>
      <c r="E29" s="319">
        <f t="shared" si="0"/>
        <v>0</v>
      </c>
      <c r="F29" s="180"/>
    </row>
    <row r="30" spans="1:6" ht="15" customHeight="1">
      <c r="A30" s="321" t="s">
        <v>32</v>
      </c>
      <c r="B30" s="322"/>
      <c r="C30" s="2"/>
      <c r="D30" s="2"/>
      <c r="E30" s="319"/>
      <c r="F30" s="180"/>
    </row>
    <row r="31" spans="1:6" ht="15" customHeight="1">
      <c r="A31" s="321" t="s">
        <v>33</v>
      </c>
      <c r="B31" s="322"/>
      <c r="C31" s="2"/>
      <c r="D31" s="2"/>
      <c r="E31" s="319">
        <f t="shared" si="0"/>
        <v>0</v>
      </c>
      <c r="F31" s="180"/>
    </row>
    <row r="32" spans="1:6" ht="15" customHeight="1">
      <c r="A32" s="321" t="s">
        <v>34</v>
      </c>
      <c r="B32" s="322"/>
      <c r="C32" s="2"/>
      <c r="D32" s="2"/>
      <c r="E32" s="319">
        <f t="shared" si="0"/>
        <v>0</v>
      </c>
      <c r="F32" s="180"/>
    </row>
    <row r="33" spans="1:6" ht="15" customHeight="1">
      <c r="A33" s="321" t="s">
        <v>35</v>
      </c>
      <c r="B33" s="322"/>
      <c r="C33" s="2"/>
      <c r="D33" s="2"/>
      <c r="E33" s="319">
        <f t="shared" si="0"/>
        <v>0</v>
      </c>
      <c r="F33" s="180"/>
    </row>
    <row r="34" spans="1:6" ht="15" customHeight="1">
      <c r="A34" s="321" t="s">
        <v>91</v>
      </c>
      <c r="B34" s="322"/>
      <c r="C34" s="2"/>
      <c r="D34" s="2"/>
      <c r="E34" s="319">
        <f t="shared" si="0"/>
        <v>0</v>
      </c>
      <c r="F34" s="180"/>
    </row>
    <row r="35" spans="1:6" ht="15" customHeight="1" thickBot="1">
      <c r="A35" s="321" t="s">
        <v>187</v>
      </c>
      <c r="B35" s="323"/>
      <c r="C35" s="3"/>
      <c r="D35" s="3"/>
      <c r="E35" s="319">
        <f t="shared" si="0"/>
        <v>0</v>
      </c>
      <c r="F35" s="324"/>
    </row>
    <row r="36" spans="1:6" ht="15" customHeight="1" thickBot="1">
      <c r="A36" s="874" t="s">
        <v>40</v>
      </c>
      <c r="B36" s="875"/>
      <c r="C36" s="14">
        <f>SUM(C5:C35)</f>
        <v>180917726</v>
      </c>
      <c r="D36" s="14">
        <f>SUM(D5:D35)</f>
        <v>9832371</v>
      </c>
      <c r="E36" s="14">
        <f>SUM(E5:E35)</f>
        <v>190750097</v>
      </c>
      <c r="F36" s="15">
        <f>SUM(F5:F35)</f>
        <v>71704464</v>
      </c>
    </row>
  </sheetData>
  <mergeCells count="6">
    <mergeCell ref="E2:F2"/>
    <mergeCell ref="A36:B36"/>
    <mergeCell ref="A2:A3"/>
    <mergeCell ref="B2:B3"/>
    <mergeCell ref="C2:C3"/>
    <mergeCell ref="D2:D3"/>
  </mergeCells>
  <phoneticPr fontId="27" type="noConversion"/>
  <printOptions horizontalCentered="1"/>
  <pageMargins left="0.78740157480314965" right="0.78740157480314965" top="1.5748031496062993" bottom="0.98425196850393704" header="0.78740157480314965" footer="0.78740157480314965"/>
  <pageSetup paperSize="9" scale="95" orientation="portrait" horizontalDpi="300" verticalDpi="300" r:id="rId1"/>
  <headerFooter alignWithMargins="0">
    <oddHeader xml:space="preserve">&amp;C&amp;"Times New Roman CE,Félkövér"&amp;12
KÖLTSÉGVETÉSI SZERVEK PÉNZMARADVÁNYÁNAK ALAKULÁSA&amp;R&amp;"Times New Roman CE,Félkövér dőlt"&amp;12 9. melléklet a 15/2017. (V. 30.) önkormányzati rendelethez&amp;"Times New Roman CE,Dőlt"
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>
  <dimension ref="A2:O14"/>
  <sheetViews>
    <sheetView view="pageLayout" topLeftCell="D1" zoomScaleNormal="100" workbookViewId="0">
      <selection activeCell="L6" sqref="L6"/>
    </sheetView>
  </sheetViews>
  <sheetFormatPr defaultRowHeight="12"/>
  <cols>
    <col min="1" max="1" width="3.6640625" style="795" customWidth="1"/>
    <col min="2" max="2" width="32.6640625" style="795" customWidth="1"/>
    <col min="3" max="3" width="15.1640625" style="796" customWidth="1"/>
    <col min="4" max="4" width="15.6640625" style="796" customWidth="1"/>
    <col min="5" max="5" width="16.5" style="796" customWidth="1"/>
    <col min="6" max="8" width="15.1640625" style="796" customWidth="1"/>
    <col min="9" max="9" width="16.1640625" style="796" customWidth="1"/>
    <col min="10" max="10" width="12.33203125" style="796" customWidth="1"/>
    <col min="11" max="11" width="15.33203125" style="796" customWidth="1"/>
    <col min="12" max="12" width="16.33203125" style="796" customWidth="1"/>
    <col min="13" max="13" width="16.6640625" style="796" customWidth="1"/>
    <col min="14" max="14" width="16" style="796" customWidth="1"/>
    <col min="15" max="15" width="17" style="796" customWidth="1"/>
    <col min="16" max="16384" width="9.33203125" style="796"/>
  </cols>
  <sheetData>
    <row r="2" spans="1:15" ht="15.75">
      <c r="A2" s="882" t="s">
        <v>878</v>
      </c>
      <c r="B2" s="882"/>
      <c r="C2" s="882"/>
      <c r="D2" s="882"/>
      <c r="E2" s="882"/>
      <c r="F2" s="882"/>
      <c r="G2" s="882"/>
      <c r="H2" s="882"/>
      <c r="I2" s="882"/>
      <c r="J2" s="882"/>
      <c r="K2" s="882"/>
      <c r="L2" s="882"/>
      <c r="M2" s="882"/>
      <c r="N2" s="882"/>
      <c r="O2" s="882"/>
    </row>
    <row r="4" spans="1:15" ht="12.75" thickBot="1">
      <c r="J4" s="797"/>
      <c r="K4" s="797"/>
      <c r="M4" s="797"/>
      <c r="N4" s="797"/>
      <c r="O4" s="797" t="s">
        <v>875</v>
      </c>
    </row>
    <row r="5" spans="1:15" s="798" customFormat="1" ht="12.75" thickBot="1">
      <c r="A5" s="755"/>
      <c r="B5" s="756" t="s">
        <v>833</v>
      </c>
      <c r="C5" s="757" t="s">
        <v>834</v>
      </c>
      <c r="D5" s="757" t="s">
        <v>835</v>
      </c>
      <c r="E5" s="757" t="s">
        <v>836</v>
      </c>
      <c r="F5" s="757" t="s">
        <v>837</v>
      </c>
      <c r="G5" s="757" t="s">
        <v>838</v>
      </c>
      <c r="H5" s="757" t="s">
        <v>839</v>
      </c>
      <c r="I5" s="757" t="s">
        <v>840</v>
      </c>
      <c r="J5" s="757" t="s">
        <v>841</v>
      </c>
      <c r="K5" s="757" t="s">
        <v>842</v>
      </c>
      <c r="L5" s="757" t="s">
        <v>843</v>
      </c>
      <c r="M5" s="757" t="s">
        <v>844</v>
      </c>
      <c r="N5" s="757" t="s">
        <v>845</v>
      </c>
      <c r="O5" s="757" t="s">
        <v>846</v>
      </c>
    </row>
    <row r="6" spans="1:15" ht="60.75" customHeight="1" thickBot="1">
      <c r="A6" s="763" t="s">
        <v>7</v>
      </c>
      <c r="B6" s="758" t="s">
        <v>52</v>
      </c>
      <c r="C6" s="759" t="s">
        <v>864</v>
      </c>
      <c r="D6" s="759" t="s">
        <v>865</v>
      </c>
      <c r="E6" s="759" t="s">
        <v>866</v>
      </c>
      <c r="F6" s="759" t="s">
        <v>867</v>
      </c>
      <c r="G6" s="759" t="s">
        <v>868</v>
      </c>
      <c r="H6" s="759" t="s">
        <v>869</v>
      </c>
      <c r="I6" s="759" t="s">
        <v>870</v>
      </c>
      <c r="J6" s="759" t="s">
        <v>871</v>
      </c>
      <c r="K6" s="759" t="s">
        <v>872</v>
      </c>
      <c r="L6" s="759" t="s">
        <v>873</v>
      </c>
      <c r="M6" s="759" t="s">
        <v>874</v>
      </c>
      <c r="N6" s="801" t="s">
        <v>876</v>
      </c>
      <c r="O6" s="801" t="s">
        <v>877</v>
      </c>
    </row>
    <row r="7" spans="1:15" ht="24.95" customHeight="1">
      <c r="A7" s="764" t="s">
        <v>8</v>
      </c>
      <c r="B7" s="774" t="s">
        <v>735</v>
      </c>
      <c r="C7" s="802">
        <v>-96669432</v>
      </c>
      <c r="D7" s="802">
        <v>93521769</v>
      </c>
      <c r="E7" s="802">
        <f>SUM(C7:D7)</f>
        <v>-3147663</v>
      </c>
      <c r="F7" s="803"/>
      <c r="G7" s="803"/>
      <c r="H7" s="803"/>
      <c r="I7" s="804">
        <f>+E7+H7</f>
        <v>-3147663</v>
      </c>
      <c r="J7" s="802"/>
      <c r="K7" s="802">
        <f>+I7+J7</f>
        <v>-3147663</v>
      </c>
      <c r="L7" s="802"/>
      <c r="M7" s="805">
        <f>+E7-L7</f>
        <v>-3147663</v>
      </c>
      <c r="N7" s="806"/>
      <c r="O7" s="807"/>
    </row>
    <row r="8" spans="1:15" ht="24.95" customHeight="1">
      <c r="A8" s="766" t="s">
        <v>9</v>
      </c>
      <c r="B8" s="775" t="s">
        <v>854</v>
      </c>
      <c r="C8" s="808">
        <v>-49060670</v>
      </c>
      <c r="D8" s="808">
        <v>50415792</v>
      </c>
      <c r="E8" s="802">
        <f>SUM(C8:D8)</f>
        <v>1355122</v>
      </c>
      <c r="F8" s="808">
        <v>803428</v>
      </c>
      <c r="G8" s="808"/>
      <c r="H8" s="808">
        <f>+F8-G8</f>
        <v>803428</v>
      </c>
      <c r="I8" s="804">
        <f>+E8+H8</f>
        <v>2158550</v>
      </c>
      <c r="J8" s="808"/>
      <c r="K8" s="802">
        <f>+I8+J8</f>
        <v>2158550</v>
      </c>
      <c r="L8" s="808">
        <v>0</v>
      </c>
      <c r="M8" s="804">
        <f t="shared" ref="M8:M9" si="0">+E8-L8</f>
        <v>1355122</v>
      </c>
      <c r="N8" s="809">
        <f>+H8*0.1</f>
        <v>80342.8</v>
      </c>
      <c r="O8" s="810">
        <f>+H8-N8</f>
        <v>723085.2</v>
      </c>
    </row>
    <row r="9" spans="1:15" ht="24.95" customHeight="1">
      <c r="A9" s="764" t="s">
        <v>10</v>
      </c>
      <c r="B9" s="768" t="s">
        <v>733</v>
      </c>
      <c r="C9" s="808">
        <v>-164247324</v>
      </c>
      <c r="D9" s="808">
        <v>160846012</v>
      </c>
      <c r="E9" s="802">
        <f>SUM(C9:D9)</f>
        <v>-3401312</v>
      </c>
      <c r="F9" s="808"/>
      <c r="G9" s="808"/>
      <c r="H9" s="808"/>
      <c r="I9" s="804">
        <f>+E9+H9</f>
        <v>-3401312</v>
      </c>
      <c r="J9" s="808"/>
      <c r="K9" s="802">
        <f>+I9+J9</f>
        <v>-3401312</v>
      </c>
      <c r="L9" s="808">
        <v>0</v>
      </c>
      <c r="M9" s="804">
        <f t="shared" si="0"/>
        <v>-3401312</v>
      </c>
      <c r="N9" s="811"/>
      <c r="O9" s="812"/>
    </row>
    <row r="10" spans="1:15" ht="24.95" customHeight="1" thickBot="1">
      <c r="A10" s="770" t="s">
        <v>11</v>
      </c>
      <c r="B10" s="776" t="s">
        <v>732</v>
      </c>
      <c r="C10" s="813">
        <v>-81675628</v>
      </c>
      <c r="D10" s="813">
        <v>78392232</v>
      </c>
      <c r="E10" s="813">
        <f t="shared" ref="E10" si="1">SUM(C10:D10)</f>
        <v>-3283396</v>
      </c>
      <c r="F10" s="813"/>
      <c r="G10" s="813"/>
      <c r="H10" s="813"/>
      <c r="I10" s="813">
        <f>+E10+H10</f>
        <v>-3283396</v>
      </c>
      <c r="J10" s="813"/>
      <c r="K10" s="813">
        <f t="shared" ref="K10" si="2">+I10+J10</f>
        <v>-3283396</v>
      </c>
      <c r="L10" s="813"/>
      <c r="M10" s="814">
        <f>+E10-L10</f>
        <v>-3283396</v>
      </c>
      <c r="N10" s="815"/>
      <c r="O10" s="816"/>
    </row>
    <row r="11" spans="1:15" ht="24.95" customHeight="1" thickBot="1">
      <c r="A11" s="761" t="s">
        <v>12</v>
      </c>
      <c r="B11" s="777" t="s">
        <v>852</v>
      </c>
      <c r="C11" s="817">
        <f>+C7+C10</f>
        <v>-178345060</v>
      </c>
      <c r="D11" s="817">
        <f t="shared" ref="D11:M11" si="3">+D7+D10</f>
        <v>171914001</v>
      </c>
      <c r="E11" s="817">
        <f t="shared" si="3"/>
        <v>-6431059</v>
      </c>
      <c r="F11" s="817">
        <f t="shared" si="3"/>
        <v>0</v>
      </c>
      <c r="G11" s="817">
        <f t="shared" si="3"/>
        <v>0</v>
      </c>
      <c r="H11" s="817">
        <f t="shared" si="3"/>
        <v>0</v>
      </c>
      <c r="I11" s="817">
        <f t="shared" si="3"/>
        <v>-6431059</v>
      </c>
      <c r="J11" s="817">
        <f t="shared" si="3"/>
        <v>0</v>
      </c>
      <c r="K11" s="817">
        <f t="shared" si="3"/>
        <v>-6431059</v>
      </c>
      <c r="L11" s="817">
        <f t="shared" si="3"/>
        <v>0</v>
      </c>
      <c r="M11" s="817">
        <f t="shared" si="3"/>
        <v>-6431059</v>
      </c>
      <c r="N11" s="818"/>
      <c r="O11" s="818"/>
    </row>
    <row r="12" spans="1:15" ht="24.95" customHeight="1" thickBot="1">
      <c r="A12" s="761" t="s">
        <v>13</v>
      </c>
      <c r="B12" s="778" t="s">
        <v>731</v>
      </c>
      <c r="C12" s="819">
        <v>427859540</v>
      </c>
      <c r="D12" s="819">
        <v>-238464565</v>
      </c>
      <c r="E12" s="820">
        <f>SUM(C12:D12)</f>
        <v>189394975</v>
      </c>
      <c r="F12" s="821"/>
      <c r="G12" s="821"/>
      <c r="H12" s="821"/>
      <c r="I12" s="819">
        <f>+E12+H12</f>
        <v>189394975</v>
      </c>
      <c r="J12" s="819"/>
      <c r="K12" s="820">
        <f>+I12+J12</f>
        <v>189394975</v>
      </c>
      <c r="L12" s="819"/>
      <c r="M12" s="819">
        <f>+E12-L12</f>
        <v>189394975</v>
      </c>
      <c r="N12" s="818"/>
      <c r="O12" s="818"/>
    </row>
    <row r="13" spans="1:15" ht="24.95" customHeight="1" thickBot="1">
      <c r="A13" s="761" t="s">
        <v>14</v>
      </c>
      <c r="B13" s="779" t="s">
        <v>853</v>
      </c>
      <c r="C13" s="817">
        <f t="shared" ref="C13:M13" si="4">SUM(C11:C12)</f>
        <v>249514480</v>
      </c>
      <c r="D13" s="817">
        <f t="shared" si="4"/>
        <v>-66550564</v>
      </c>
      <c r="E13" s="817">
        <f t="shared" si="4"/>
        <v>182963916</v>
      </c>
      <c r="F13" s="817">
        <f t="shared" si="4"/>
        <v>0</v>
      </c>
      <c r="G13" s="817">
        <f t="shared" si="4"/>
        <v>0</v>
      </c>
      <c r="H13" s="817">
        <f t="shared" si="4"/>
        <v>0</v>
      </c>
      <c r="I13" s="817">
        <f t="shared" si="4"/>
        <v>182963916</v>
      </c>
      <c r="J13" s="817">
        <f t="shared" si="4"/>
        <v>0</v>
      </c>
      <c r="K13" s="817">
        <f t="shared" si="4"/>
        <v>182963916</v>
      </c>
      <c r="L13" s="817">
        <f t="shared" si="4"/>
        <v>0</v>
      </c>
      <c r="M13" s="817">
        <f t="shared" si="4"/>
        <v>182963916</v>
      </c>
      <c r="N13" s="818"/>
      <c r="O13" s="818"/>
    </row>
    <row r="14" spans="1:15" s="800" customFormat="1" ht="20.100000000000001" customHeight="1">
      <c r="A14" s="799"/>
      <c r="B14" s="799"/>
    </row>
  </sheetData>
  <mergeCells count="1">
    <mergeCell ref="A2:O2"/>
  </mergeCells>
  <printOptions horizontalCentered="1"/>
  <pageMargins left="0.15748031496062992" right="0.15748031496062992" top="0.98425196850393704" bottom="0.98425196850393704" header="0.51181102362204722" footer="0.51181102362204722"/>
  <pageSetup scale="62" orientation="landscape" horizontalDpi="300" verticalDpi="300" r:id="rId1"/>
  <headerFooter alignWithMargins="0">
    <oddHeader>&amp;R&amp;"Times New Roman,Normál" 9.1. melléklet a 15/2017. (V. 30.) önkormányzati rendelethez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>
  <dimension ref="C1:O32"/>
  <sheetViews>
    <sheetView view="pageLayout" topLeftCell="C1" zoomScaleNormal="100" workbookViewId="0">
      <selection activeCell="L5" sqref="L5"/>
    </sheetView>
  </sheetViews>
  <sheetFormatPr defaultRowHeight="12.75"/>
  <cols>
    <col min="1" max="2" width="9.33203125" style="748"/>
    <col min="3" max="3" width="4" style="750" customWidth="1"/>
    <col min="4" max="4" width="34.1640625" style="750" customWidth="1"/>
    <col min="5" max="5" width="14.33203125" style="748" customWidth="1"/>
    <col min="6" max="6" width="13.83203125" style="748" customWidth="1"/>
    <col min="7" max="7" width="14.5" style="748" customWidth="1"/>
    <col min="8" max="8" width="14.6640625" style="748" bestFit="1" customWidth="1"/>
    <col min="9" max="9" width="13" style="748" customWidth="1"/>
    <col min="10" max="10" width="14" style="748" customWidth="1"/>
    <col min="11" max="11" width="14.83203125" style="748" customWidth="1"/>
    <col min="12" max="12" width="13" style="748" customWidth="1"/>
    <col min="13" max="13" width="11" style="748" customWidth="1"/>
    <col min="14" max="14" width="11.6640625" style="748" customWidth="1"/>
    <col min="15" max="15" width="13.5" style="748" customWidth="1"/>
    <col min="16" max="16384" width="9.33203125" style="748"/>
  </cols>
  <sheetData>
    <row r="1" spans="3:15" ht="18.75">
      <c r="C1" s="883" t="s">
        <v>862</v>
      </c>
      <c r="D1" s="883"/>
      <c r="E1" s="883"/>
      <c r="F1" s="883"/>
      <c r="G1" s="883"/>
      <c r="H1" s="883"/>
      <c r="I1" s="883"/>
      <c r="J1" s="883"/>
      <c r="K1" s="883"/>
      <c r="L1" s="883"/>
      <c r="M1" s="883"/>
      <c r="N1" s="883"/>
      <c r="O1" s="883"/>
    </row>
    <row r="2" spans="3:15">
      <c r="C2" s="753"/>
      <c r="D2" s="753"/>
      <c r="E2" s="754"/>
      <c r="F2" s="754"/>
      <c r="G2" s="754"/>
      <c r="H2" s="754"/>
      <c r="I2" s="754"/>
      <c r="J2" s="754"/>
      <c r="K2" s="754"/>
      <c r="L2" s="754"/>
      <c r="M2" s="754"/>
      <c r="N2" s="754"/>
      <c r="O2" s="754"/>
    </row>
    <row r="3" spans="3:15" ht="13.5" thickBot="1">
      <c r="C3" s="753"/>
      <c r="D3" s="753"/>
      <c r="E3" s="754"/>
      <c r="F3" s="754"/>
      <c r="G3" s="754"/>
      <c r="H3" s="754"/>
      <c r="I3" s="754"/>
      <c r="J3" s="754"/>
      <c r="K3" s="754"/>
      <c r="L3" s="754"/>
      <c r="M3" s="754"/>
      <c r="N3" s="754"/>
      <c r="O3" s="754" t="s">
        <v>832</v>
      </c>
    </row>
    <row r="4" spans="3:15" ht="13.5" thickBot="1">
      <c r="C4" s="760"/>
      <c r="D4" s="756" t="s">
        <v>833</v>
      </c>
      <c r="E4" s="757" t="s">
        <v>834</v>
      </c>
      <c r="F4" s="757" t="s">
        <v>835</v>
      </c>
      <c r="G4" s="757" t="s">
        <v>836</v>
      </c>
      <c r="H4" s="757" t="s">
        <v>837</v>
      </c>
      <c r="I4" s="757" t="s">
        <v>838</v>
      </c>
      <c r="J4" s="757" t="s">
        <v>839</v>
      </c>
      <c r="K4" s="757" t="s">
        <v>840</v>
      </c>
      <c r="L4" s="757" t="s">
        <v>841</v>
      </c>
      <c r="M4" s="757" t="s">
        <v>842</v>
      </c>
      <c r="N4" s="757" t="s">
        <v>843</v>
      </c>
      <c r="O4" s="757" t="s">
        <v>847</v>
      </c>
    </row>
    <row r="5" spans="3:15" ht="59.25" customHeight="1" thickBot="1">
      <c r="C5" s="762" t="s">
        <v>7</v>
      </c>
      <c r="D5" s="758" t="s">
        <v>52</v>
      </c>
      <c r="E5" s="759" t="s">
        <v>860</v>
      </c>
      <c r="F5" s="759" t="s">
        <v>859</v>
      </c>
      <c r="G5" s="759" t="s">
        <v>858</v>
      </c>
      <c r="H5" s="759" t="s">
        <v>848</v>
      </c>
      <c r="I5" s="759" t="s">
        <v>857</v>
      </c>
      <c r="J5" s="759" t="s">
        <v>856</v>
      </c>
      <c r="K5" s="759" t="s">
        <v>849</v>
      </c>
      <c r="L5" s="759" t="s">
        <v>855</v>
      </c>
      <c r="M5" s="759" t="s">
        <v>861</v>
      </c>
      <c r="N5" s="759" t="s">
        <v>850</v>
      </c>
      <c r="O5" s="759" t="s">
        <v>851</v>
      </c>
    </row>
    <row r="6" spans="3:15" ht="24.95" customHeight="1">
      <c r="C6" s="764" t="s">
        <v>8</v>
      </c>
      <c r="D6" s="774" t="s">
        <v>735</v>
      </c>
      <c r="E6" s="765">
        <v>0</v>
      </c>
      <c r="F6" s="765">
        <v>94726</v>
      </c>
      <c r="G6" s="765">
        <v>10768</v>
      </c>
      <c r="H6" s="765">
        <v>78001</v>
      </c>
      <c r="I6" s="765">
        <v>856</v>
      </c>
      <c r="J6" s="765">
        <v>2800</v>
      </c>
      <c r="K6" s="765">
        <f>+E6+F6-(G6+H6+I6+J6)</f>
        <v>2301</v>
      </c>
      <c r="L6" s="765">
        <v>0</v>
      </c>
      <c r="M6" s="765">
        <v>50</v>
      </c>
      <c r="N6" s="765">
        <f>+L6-M6</f>
        <v>-50</v>
      </c>
      <c r="O6" s="765">
        <f>+K6+N6</f>
        <v>2251</v>
      </c>
    </row>
    <row r="7" spans="3:15" ht="24.95" customHeight="1">
      <c r="C7" s="766" t="s">
        <v>9</v>
      </c>
      <c r="D7" s="775" t="s">
        <v>854</v>
      </c>
      <c r="E7" s="767">
        <v>23876</v>
      </c>
      <c r="F7" s="767">
        <v>51591</v>
      </c>
      <c r="G7" s="767">
        <v>38737</v>
      </c>
      <c r="H7" s="767">
        <v>27883</v>
      </c>
      <c r="I7" s="767">
        <v>1370</v>
      </c>
      <c r="J7" s="767">
        <v>2401</v>
      </c>
      <c r="K7" s="767">
        <f t="shared" ref="K7:K9" si="0">+E7+F7-(G7+H7+I7+J7)</f>
        <v>5076</v>
      </c>
      <c r="L7" s="767">
        <v>0</v>
      </c>
      <c r="M7" s="767">
        <v>417</v>
      </c>
      <c r="N7" s="767">
        <f t="shared" ref="N7:N9" si="1">+L7-M7</f>
        <v>-417</v>
      </c>
      <c r="O7" s="767">
        <f>+K7+N7</f>
        <v>4659</v>
      </c>
    </row>
    <row r="8" spans="3:15" s="749" customFormat="1" ht="24.95" customHeight="1">
      <c r="C8" s="764" t="s">
        <v>10</v>
      </c>
      <c r="D8" s="768" t="s">
        <v>733</v>
      </c>
      <c r="E8" s="769">
        <v>53260</v>
      </c>
      <c r="F8" s="769">
        <v>160675</v>
      </c>
      <c r="G8" s="769">
        <v>102605</v>
      </c>
      <c r="H8" s="769">
        <v>83769</v>
      </c>
      <c r="I8" s="769">
        <v>2936</v>
      </c>
      <c r="J8" s="769">
        <v>19509</v>
      </c>
      <c r="K8" s="769">
        <f t="shared" si="0"/>
        <v>5116</v>
      </c>
      <c r="L8" s="769">
        <v>0</v>
      </c>
      <c r="M8" s="769">
        <v>197</v>
      </c>
      <c r="N8" s="769">
        <f t="shared" si="1"/>
        <v>-197</v>
      </c>
      <c r="O8" s="769">
        <f>+K8+N8</f>
        <v>4919</v>
      </c>
    </row>
    <row r="9" spans="3:15" ht="24.95" customHeight="1" thickBot="1">
      <c r="C9" s="770" t="s">
        <v>11</v>
      </c>
      <c r="D9" s="776" t="s">
        <v>732</v>
      </c>
      <c r="E9" s="771">
        <v>208</v>
      </c>
      <c r="F9" s="771">
        <v>79512</v>
      </c>
      <c r="G9" s="771">
        <v>9262</v>
      </c>
      <c r="H9" s="771">
        <v>66667</v>
      </c>
      <c r="I9" s="771">
        <v>329</v>
      </c>
      <c r="J9" s="771">
        <v>1616</v>
      </c>
      <c r="K9" s="771">
        <f t="shared" si="0"/>
        <v>1846</v>
      </c>
      <c r="L9" s="771">
        <v>0</v>
      </c>
      <c r="M9" s="771">
        <v>34</v>
      </c>
      <c r="N9" s="771">
        <f t="shared" si="1"/>
        <v>-34</v>
      </c>
      <c r="O9" s="769">
        <f t="shared" ref="O9" si="2">+K9+N9</f>
        <v>1812</v>
      </c>
    </row>
    <row r="10" spans="3:15" ht="24.95" customHeight="1" thickBot="1">
      <c r="C10" s="761" t="s">
        <v>12</v>
      </c>
      <c r="D10" s="777" t="s">
        <v>852</v>
      </c>
      <c r="E10" s="772">
        <f>+E6+E7+E8+E9</f>
        <v>77344</v>
      </c>
      <c r="F10" s="772">
        <f t="shared" ref="F10:O10" si="3">+F6+F7+F8+F9</f>
        <v>386504</v>
      </c>
      <c r="G10" s="772">
        <f t="shared" si="3"/>
        <v>161372</v>
      </c>
      <c r="H10" s="772">
        <f t="shared" si="3"/>
        <v>256320</v>
      </c>
      <c r="I10" s="772">
        <f t="shared" si="3"/>
        <v>5491</v>
      </c>
      <c r="J10" s="772">
        <f t="shared" si="3"/>
        <v>26326</v>
      </c>
      <c r="K10" s="772">
        <f t="shared" si="3"/>
        <v>14339</v>
      </c>
      <c r="L10" s="772">
        <f t="shared" si="3"/>
        <v>0</v>
      </c>
      <c r="M10" s="772">
        <f t="shared" si="3"/>
        <v>698</v>
      </c>
      <c r="N10" s="772">
        <f t="shared" si="3"/>
        <v>-698</v>
      </c>
      <c r="O10" s="772">
        <f t="shared" si="3"/>
        <v>13641</v>
      </c>
    </row>
    <row r="11" spans="3:15" ht="24.95" customHeight="1" thickBot="1">
      <c r="C11" s="761" t="s">
        <v>13</v>
      </c>
      <c r="D11" s="778" t="s">
        <v>731</v>
      </c>
      <c r="E11" s="773">
        <v>71674</v>
      </c>
      <c r="F11" s="773">
        <v>1083714</v>
      </c>
      <c r="G11" s="773">
        <v>127246</v>
      </c>
      <c r="H11" s="773">
        <v>313136</v>
      </c>
      <c r="I11" s="773">
        <v>149256</v>
      </c>
      <c r="J11" s="773">
        <v>502050</v>
      </c>
      <c r="K11" s="769">
        <f>+E11+F11-(G11+H11+I11+J11)</f>
        <v>63700</v>
      </c>
      <c r="L11" s="773">
        <v>9</v>
      </c>
      <c r="M11" s="773">
        <v>1841</v>
      </c>
      <c r="N11" s="773">
        <f>+L11-M11</f>
        <v>-1832</v>
      </c>
      <c r="O11" s="773">
        <f>+K11+N11</f>
        <v>61868</v>
      </c>
    </row>
    <row r="12" spans="3:15" ht="24.95" customHeight="1" thickBot="1">
      <c r="C12" s="761" t="s">
        <v>14</v>
      </c>
      <c r="D12" s="779" t="s">
        <v>853</v>
      </c>
      <c r="E12" s="772">
        <f t="shared" ref="E12:O12" si="4">+E10+E11</f>
        <v>149018</v>
      </c>
      <c r="F12" s="772">
        <f t="shared" si="4"/>
        <v>1470218</v>
      </c>
      <c r="G12" s="772">
        <f t="shared" si="4"/>
        <v>288618</v>
      </c>
      <c r="H12" s="772">
        <f t="shared" si="4"/>
        <v>569456</v>
      </c>
      <c r="I12" s="772">
        <f t="shared" si="4"/>
        <v>154747</v>
      </c>
      <c r="J12" s="772">
        <f t="shared" si="4"/>
        <v>528376</v>
      </c>
      <c r="K12" s="772">
        <f t="shared" si="4"/>
        <v>78039</v>
      </c>
      <c r="L12" s="772">
        <f t="shared" si="4"/>
        <v>9</v>
      </c>
      <c r="M12" s="772">
        <f t="shared" si="4"/>
        <v>2539</v>
      </c>
      <c r="N12" s="772">
        <f t="shared" si="4"/>
        <v>-2530</v>
      </c>
      <c r="O12" s="772">
        <f t="shared" si="4"/>
        <v>75509</v>
      </c>
    </row>
    <row r="13" spans="3:15" ht="24.95" customHeight="1">
      <c r="C13" s="748"/>
      <c r="D13" s="748"/>
    </row>
    <row r="14" spans="3:15" ht="24.95" customHeight="1">
      <c r="D14" s="751"/>
      <c r="E14" s="752"/>
      <c r="F14" s="752"/>
      <c r="G14" s="752"/>
      <c r="H14" s="752"/>
      <c r="I14" s="752"/>
      <c r="J14" s="752"/>
      <c r="K14" s="752"/>
      <c r="L14" s="752"/>
      <c r="M14" s="752"/>
      <c r="N14" s="752"/>
      <c r="O14" s="752"/>
    </row>
    <row r="15" spans="3:15" ht="24.95" customHeight="1">
      <c r="D15" s="751"/>
      <c r="E15" s="752"/>
      <c r="F15" s="752"/>
      <c r="G15" s="752"/>
      <c r="H15" s="752"/>
      <c r="I15" s="752"/>
      <c r="J15" s="752"/>
      <c r="K15" s="752"/>
      <c r="L15" s="752"/>
      <c r="M15" s="752"/>
      <c r="N15" s="752"/>
      <c r="O15" s="752"/>
    </row>
    <row r="16" spans="3:15" ht="24.95" customHeight="1">
      <c r="D16" s="751"/>
      <c r="E16" s="752"/>
      <c r="F16" s="752"/>
      <c r="G16" s="752"/>
      <c r="H16" s="752"/>
      <c r="I16" s="752"/>
      <c r="J16" s="752"/>
      <c r="K16" s="752"/>
      <c r="L16" s="752"/>
      <c r="M16" s="752"/>
      <c r="N16" s="752"/>
      <c r="O16" s="752"/>
    </row>
    <row r="17" spans="4:15" ht="24.95" customHeight="1">
      <c r="D17" s="751"/>
      <c r="E17" s="752"/>
      <c r="F17" s="752"/>
      <c r="G17" s="752"/>
      <c r="H17" s="752"/>
      <c r="I17" s="752"/>
      <c r="J17" s="752"/>
      <c r="K17" s="752"/>
      <c r="L17" s="752"/>
      <c r="M17" s="752"/>
      <c r="N17" s="752"/>
      <c r="O17" s="752"/>
    </row>
    <row r="18" spans="4:15" ht="24.95" customHeight="1">
      <c r="D18" s="751"/>
      <c r="E18" s="752"/>
      <c r="F18" s="752"/>
      <c r="G18" s="752"/>
      <c r="H18" s="752"/>
      <c r="I18" s="752"/>
      <c r="J18" s="752"/>
      <c r="K18" s="752"/>
      <c r="L18" s="752"/>
      <c r="M18" s="752"/>
      <c r="N18" s="752"/>
      <c r="O18" s="752"/>
    </row>
    <row r="19" spans="4:15">
      <c r="D19" s="751"/>
      <c r="E19" s="752"/>
      <c r="F19" s="752"/>
      <c r="G19" s="752"/>
      <c r="H19" s="752"/>
      <c r="I19" s="752"/>
      <c r="J19" s="752"/>
      <c r="K19" s="752"/>
      <c r="L19" s="752"/>
      <c r="M19" s="752"/>
      <c r="N19" s="752"/>
      <c r="O19" s="752"/>
    </row>
    <row r="20" spans="4:15">
      <c r="D20" s="751"/>
      <c r="E20" s="752"/>
      <c r="F20" s="752"/>
      <c r="G20" s="752"/>
      <c r="H20" s="752"/>
      <c r="I20" s="752"/>
      <c r="J20" s="752"/>
      <c r="K20" s="752"/>
      <c r="L20" s="752"/>
      <c r="M20" s="752"/>
      <c r="N20" s="752"/>
      <c r="O20" s="752"/>
    </row>
    <row r="21" spans="4:15">
      <c r="D21" s="751"/>
      <c r="E21" s="752"/>
      <c r="F21" s="752"/>
      <c r="G21" s="752"/>
      <c r="H21" s="752"/>
      <c r="I21" s="752"/>
      <c r="J21" s="752"/>
      <c r="K21" s="752"/>
      <c r="L21" s="752"/>
      <c r="M21" s="752"/>
      <c r="N21" s="752"/>
      <c r="O21" s="752"/>
    </row>
    <row r="22" spans="4:15">
      <c r="D22" s="751"/>
      <c r="E22" s="752"/>
      <c r="F22" s="752"/>
      <c r="G22" s="752"/>
      <c r="H22" s="752"/>
      <c r="I22" s="752"/>
      <c r="J22" s="752"/>
      <c r="K22" s="752"/>
      <c r="L22" s="752"/>
      <c r="M22" s="752"/>
      <c r="N22" s="752"/>
      <c r="O22" s="752"/>
    </row>
    <row r="23" spans="4:15">
      <c r="D23" s="751"/>
      <c r="E23" s="752"/>
      <c r="F23" s="752"/>
      <c r="G23" s="752"/>
      <c r="H23" s="752"/>
      <c r="I23" s="752"/>
      <c r="J23" s="752"/>
      <c r="K23" s="752"/>
      <c r="L23" s="752"/>
      <c r="M23" s="752"/>
      <c r="N23" s="752"/>
      <c r="O23" s="752"/>
    </row>
    <row r="24" spans="4:15">
      <c r="D24" s="751"/>
      <c r="E24" s="752"/>
      <c r="F24" s="752"/>
      <c r="G24" s="752"/>
      <c r="H24" s="752"/>
      <c r="I24" s="752"/>
      <c r="J24" s="752"/>
      <c r="K24" s="752"/>
      <c r="L24" s="752"/>
      <c r="M24" s="752"/>
      <c r="N24" s="752"/>
      <c r="O24" s="752"/>
    </row>
    <row r="25" spans="4:15">
      <c r="D25" s="751"/>
      <c r="E25" s="752"/>
      <c r="F25" s="752"/>
      <c r="G25" s="752"/>
      <c r="H25" s="752"/>
      <c r="I25" s="752"/>
      <c r="J25" s="752"/>
      <c r="K25" s="752"/>
      <c r="L25" s="752"/>
      <c r="M25" s="752"/>
      <c r="N25" s="752"/>
      <c r="O25" s="752"/>
    </row>
    <row r="26" spans="4:15">
      <c r="D26" s="751"/>
      <c r="E26" s="752"/>
      <c r="F26" s="752"/>
      <c r="G26" s="752"/>
      <c r="H26" s="752"/>
      <c r="I26" s="752"/>
      <c r="J26" s="752"/>
      <c r="K26" s="752"/>
      <c r="L26" s="752"/>
      <c r="M26" s="752"/>
      <c r="N26" s="752"/>
      <c r="O26" s="752"/>
    </row>
    <row r="27" spans="4:15">
      <c r="D27" s="751"/>
      <c r="E27" s="752"/>
      <c r="F27" s="752"/>
      <c r="G27" s="752"/>
      <c r="H27" s="752"/>
      <c r="I27" s="752"/>
      <c r="J27" s="752"/>
      <c r="K27" s="752"/>
      <c r="L27" s="752"/>
      <c r="M27" s="752"/>
      <c r="N27" s="752"/>
      <c r="O27" s="752"/>
    </row>
    <row r="28" spans="4:15">
      <c r="D28" s="751"/>
      <c r="E28" s="752"/>
      <c r="F28" s="752"/>
      <c r="G28" s="752"/>
      <c r="H28" s="752"/>
      <c r="I28" s="752"/>
      <c r="J28" s="752"/>
      <c r="K28" s="752"/>
      <c r="L28" s="752"/>
      <c r="M28" s="752"/>
      <c r="N28" s="752"/>
      <c r="O28" s="752"/>
    </row>
    <row r="29" spans="4:15">
      <c r="D29" s="751"/>
      <c r="E29" s="752"/>
      <c r="F29" s="752"/>
      <c r="G29" s="752"/>
      <c r="H29" s="752"/>
      <c r="I29" s="752"/>
      <c r="J29" s="752"/>
      <c r="K29" s="752"/>
      <c r="L29" s="752"/>
      <c r="M29" s="752"/>
      <c r="N29" s="752"/>
      <c r="O29" s="752"/>
    </row>
    <row r="30" spans="4:15">
      <c r="D30" s="751"/>
      <c r="E30" s="752"/>
      <c r="F30" s="752"/>
      <c r="G30" s="752"/>
      <c r="H30" s="752"/>
      <c r="I30" s="752"/>
      <c r="J30" s="752"/>
      <c r="K30" s="752"/>
      <c r="L30" s="752"/>
      <c r="M30" s="752"/>
      <c r="N30" s="752"/>
      <c r="O30" s="752"/>
    </row>
    <row r="31" spans="4:15">
      <c r="D31" s="751"/>
      <c r="E31" s="752"/>
      <c r="F31" s="752"/>
      <c r="G31" s="752"/>
      <c r="H31" s="752"/>
      <c r="I31" s="752"/>
      <c r="J31" s="752"/>
      <c r="K31" s="752"/>
      <c r="L31" s="752"/>
      <c r="M31" s="752"/>
      <c r="N31" s="752"/>
      <c r="O31" s="752"/>
    </row>
    <row r="32" spans="4:15">
      <c r="D32" s="751"/>
      <c r="E32" s="752"/>
      <c r="F32" s="752"/>
      <c r="G32" s="752"/>
      <c r="H32" s="752"/>
      <c r="I32" s="752"/>
      <c r="J32" s="752"/>
      <c r="K32" s="752"/>
      <c r="L32" s="752"/>
      <c r="M32" s="752"/>
      <c r="N32" s="752"/>
      <c r="O32" s="752"/>
    </row>
  </sheetData>
  <mergeCells count="1">
    <mergeCell ref="C1:O1"/>
  </mergeCells>
  <pageMargins left="0.15748031496062992" right="0.15748031496062992" top="0.98425196850393704" bottom="0.98425196850393704" header="0.51181102362204722" footer="0.51181102362204722"/>
  <pageSetup scale="65" orientation="landscape" horizontalDpi="300" verticalDpi="300" r:id="rId1"/>
  <headerFooter alignWithMargins="0">
    <oddHeader>&amp;R&amp;"Times New Roman,Normál"&amp;9 10. számú melléklet a 15/2017. (V. 30.) önkormányzati rendelethez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rgb="FF92D050"/>
  </sheetPr>
  <dimension ref="A1:F74"/>
  <sheetViews>
    <sheetView view="pageLayout" zoomScaleNormal="100" zoomScaleSheetLayoutView="120" workbookViewId="0">
      <selection sqref="A1:F1"/>
    </sheetView>
  </sheetViews>
  <sheetFormatPr defaultColWidth="12" defaultRowHeight="15.75"/>
  <cols>
    <col min="1" max="1" width="60" style="604" customWidth="1"/>
    <col min="2" max="2" width="6.1640625" style="605" customWidth="1"/>
    <col min="3" max="3" width="13.1640625" style="605" customWidth="1"/>
    <col min="4" max="4" width="13.6640625" style="604" customWidth="1"/>
    <col min="5" max="5" width="12.1640625" style="604" customWidth="1"/>
    <col min="6" max="6" width="12.1640625" style="624" customWidth="1"/>
    <col min="7" max="16384" width="12" style="604"/>
  </cols>
  <sheetData>
    <row r="1" spans="1:6" ht="49.5" customHeight="1">
      <c r="A1" s="885" t="str">
        <f>+CONCATENATE("VAGYONKIMUTATÁS",CHAR(10),"a könyvviteli mérlegben értékkel szereplő eszközökről",CHAR(10),LEFT(ÖSSZEFÜGGÉSEK!A4,4),".")</f>
        <v>VAGYONKIMUTATÁS
a könyvviteli mérlegben értékkel szereplő eszközökről
2016.</v>
      </c>
      <c r="B1" s="886"/>
      <c r="C1" s="886"/>
      <c r="D1" s="886"/>
      <c r="E1" s="886"/>
      <c r="F1" s="886"/>
    </row>
    <row r="2" spans="1:6" ht="16.5" thickBot="1">
      <c r="D2" s="887" t="s">
        <v>243</v>
      </c>
      <c r="E2" s="887"/>
      <c r="F2" s="887"/>
    </row>
    <row r="3" spans="1:6" ht="15.75" customHeight="1">
      <c r="A3" s="888" t="s">
        <v>244</v>
      </c>
      <c r="B3" s="891" t="s">
        <v>245</v>
      </c>
      <c r="C3" s="898" t="s">
        <v>863</v>
      </c>
      <c r="D3" s="894" t="s">
        <v>762</v>
      </c>
      <c r="E3" s="894" t="s">
        <v>763</v>
      </c>
      <c r="F3" s="896" t="s">
        <v>39</v>
      </c>
    </row>
    <row r="4" spans="1:6" ht="18.75" customHeight="1">
      <c r="A4" s="889"/>
      <c r="B4" s="892"/>
      <c r="C4" s="899"/>
      <c r="D4" s="895"/>
      <c r="E4" s="895"/>
      <c r="F4" s="897"/>
    </row>
    <row r="5" spans="1:6" ht="15.75" customHeight="1">
      <c r="A5" s="890"/>
      <c r="B5" s="893"/>
      <c r="C5" s="900" t="s">
        <v>246</v>
      </c>
      <c r="D5" s="901"/>
      <c r="E5" s="901"/>
      <c r="F5" s="902"/>
    </row>
    <row r="6" spans="1:6" s="609" customFormat="1" ht="16.5" thickBot="1">
      <c r="A6" s="606" t="s">
        <v>643</v>
      </c>
      <c r="B6" s="607" t="s">
        <v>410</v>
      </c>
      <c r="C6" s="607"/>
      <c r="D6" s="607" t="s">
        <v>411</v>
      </c>
      <c r="E6" s="607" t="s">
        <v>412</v>
      </c>
      <c r="F6" s="608" t="s">
        <v>413</v>
      </c>
    </row>
    <row r="7" spans="1:6" s="613" customFormat="1">
      <c r="A7" s="610" t="s">
        <v>584</v>
      </c>
      <c r="B7" s="611" t="s">
        <v>247</v>
      </c>
      <c r="C7" s="612">
        <v>16776</v>
      </c>
      <c r="D7" s="612">
        <v>10398</v>
      </c>
      <c r="E7" s="612"/>
      <c r="F7" s="612">
        <v>10398</v>
      </c>
    </row>
    <row r="8" spans="1:6" s="613" customFormat="1">
      <c r="A8" s="614" t="s">
        <v>585</v>
      </c>
      <c r="B8" s="233" t="s">
        <v>248</v>
      </c>
      <c r="C8" s="615">
        <f>+C9+C14+C19+C24+C29</f>
        <v>4575826</v>
      </c>
      <c r="D8" s="615">
        <f>+D9+D14+D19+D24+D29</f>
        <v>4535453</v>
      </c>
      <c r="E8" s="615">
        <f>+E9+E14+E19+E24+E29</f>
        <v>11463</v>
      </c>
      <c r="F8" s="615">
        <f>+F9+F14+F19+F24+F29</f>
        <v>4546916</v>
      </c>
    </row>
    <row r="9" spans="1:6" s="613" customFormat="1">
      <c r="A9" s="614" t="s">
        <v>586</v>
      </c>
      <c r="B9" s="233" t="s">
        <v>249</v>
      </c>
      <c r="C9" s="615">
        <f>+C10+C11+C12+C13</f>
        <v>4404728</v>
      </c>
      <c r="D9" s="615">
        <f>+D10+D11+D12+D13</f>
        <v>4362118</v>
      </c>
      <c r="E9" s="615">
        <f>+E10+E11+E12+E13</f>
        <v>314</v>
      </c>
      <c r="F9" s="615">
        <f>+F10+F11+F12+F13</f>
        <v>4362432</v>
      </c>
    </row>
    <row r="10" spans="1:6" s="613" customFormat="1">
      <c r="A10" s="616" t="s">
        <v>587</v>
      </c>
      <c r="B10" s="233" t="s">
        <v>250</v>
      </c>
      <c r="C10" s="224">
        <v>1161128</v>
      </c>
      <c r="D10" s="224">
        <v>1134002</v>
      </c>
      <c r="E10" s="224"/>
      <c r="F10" s="224">
        <v>1134002</v>
      </c>
    </row>
    <row r="11" spans="1:6" s="613" customFormat="1" ht="28.5" customHeight="1">
      <c r="A11" s="616" t="s">
        <v>764</v>
      </c>
      <c r="B11" s="233" t="s">
        <v>251</v>
      </c>
      <c r="C11" s="223"/>
      <c r="D11" s="223"/>
      <c r="E11" s="223"/>
      <c r="F11" s="223"/>
    </row>
    <row r="12" spans="1:6" s="613" customFormat="1" ht="22.5">
      <c r="A12" s="616" t="s">
        <v>588</v>
      </c>
      <c r="B12" s="233" t="s">
        <v>252</v>
      </c>
      <c r="C12" s="223">
        <v>2677072</v>
      </c>
      <c r="D12" s="223">
        <v>2655944</v>
      </c>
      <c r="E12" s="223"/>
      <c r="F12" s="223">
        <v>2655944</v>
      </c>
    </row>
    <row r="13" spans="1:6" s="613" customFormat="1">
      <c r="A13" s="616" t="s">
        <v>589</v>
      </c>
      <c r="B13" s="233" t="s">
        <v>253</v>
      </c>
      <c r="C13" s="223">
        <v>566528</v>
      </c>
      <c r="D13" s="223">
        <v>572172</v>
      </c>
      <c r="E13" s="223">
        <v>314</v>
      </c>
      <c r="F13" s="223">
        <v>572486</v>
      </c>
    </row>
    <row r="14" spans="1:6" s="613" customFormat="1">
      <c r="A14" s="614" t="s">
        <v>590</v>
      </c>
      <c r="B14" s="233" t="s">
        <v>254</v>
      </c>
      <c r="C14" s="617">
        <f>+C15+C16+C17+C18</f>
        <v>171098</v>
      </c>
      <c r="D14" s="617">
        <f>+D15+D16+D17+D18</f>
        <v>168514</v>
      </c>
      <c r="E14" s="617">
        <f>+E15+E16+E17+E18</f>
        <v>11149</v>
      </c>
      <c r="F14" s="617">
        <f>+F15+F16+F17+F18</f>
        <v>179663</v>
      </c>
    </row>
    <row r="15" spans="1:6" s="613" customFormat="1">
      <c r="A15" s="616" t="s">
        <v>591</v>
      </c>
      <c r="B15" s="233" t="s">
        <v>255</v>
      </c>
      <c r="C15" s="223"/>
      <c r="D15" s="223"/>
      <c r="E15" s="223"/>
      <c r="F15" s="223"/>
    </row>
    <row r="16" spans="1:6" s="613" customFormat="1" ht="33.75">
      <c r="A16" s="616" t="s">
        <v>592</v>
      </c>
      <c r="B16" s="233" t="s">
        <v>16</v>
      </c>
      <c r="C16" s="223"/>
      <c r="D16" s="223"/>
      <c r="E16" s="223"/>
      <c r="F16" s="223"/>
    </row>
    <row r="17" spans="1:6" s="613" customFormat="1" ht="22.5">
      <c r="A17" s="616" t="s">
        <v>593</v>
      </c>
      <c r="B17" s="233" t="s">
        <v>17</v>
      </c>
      <c r="C17" s="223"/>
      <c r="D17" s="223"/>
      <c r="E17" s="223"/>
      <c r="F17" s="223"/>
    </row>
    <row r="18" spans="1:6" s="613" customFormat="1">
      <c r="A18" s="616" t="s">
        <v>594</v>
      </c>
      <c r="B18" s="233" t="s">
        <v>18</v>
      </c>
      <c r="C18" s="223">
        <v>171098</v>
      </c>
      <c r="D18" s="223">
        <v>168514</v>
      </c>
      <c r="E18" s="223">
        <v>11149</v>
      </c>
      <c r="F18" s="223">
        <v>179663</v>
      </c>
    </row>
    <row r="19" spans="1:6" s="613" customFormat="1">
      <c r="A19" s="614" t="s">
        <v>595</v>
      </c>
      <c r="B19" s="233" t="s">
        <v>19</v>
      </c>
      <c r="C19" s="617"/>
      <c r="D19" s="617">
        <f>+D20+D21+D22+D23</f>
        <v>0</v>
      </c>
      <c r="E19" s="617">
        <f>+E20+E21+E22+E23</f>
        <v>0</v>
      </c>
      <c r="F19" s="617">
        <f>+F20+F21+F22+F23</f>
        <v>0</v>
      </c>
    </row>
    <row r="20" spans="1:6" s="613" customFormat="1">
      <c r="A20" s="616" t="s">
        <v>596</v>
      </c>
      <c r="B20" s="233" t="s">
        <v>20</v>
      </c>
      <c r="C20" s="223"/>
      <c r="D20" s="223"/>
      <c r="E20" s="223"/>
      <c r="F20" s="223"/>
    </row>
    <row r="21" spans="1:6" s="613" customFormat="1">
      <c r="A21" s="616" t="s">
        <v>597</v>
      </c>
      <c r="B21" s="233" t="s">
        <v>21</v>
      </c>
      <c r="C21" s="223"/>
      <c r="D21" s="223"/>
      <c r="E21" s="223"/>
      <c r="F21" s="223"/>
    </row>
    <row r="22" spans="1:6" s="613" customFormat="1">
      <c r="A22" s="616" t="s">
        <v>598</v>
      </c>
      <c r="B22" s="233" t="s">
        <v>22</v>
      </c>
      <c r="C22" s="223"/>
      <c r="D22" s="223"/>
      <c r="E22" s="223"/>
      <c r="F22" s="223"/>
    </row>
    <row r="23" spans="1:6" s="613" customFormat="1">
      <c r="A23" s="616" t="s">
        <v>599</v>
      </c>
      <c r="B23" s="233" t="s">
        <v>23</v>
      </c>
      <c r="C23" s="223"/>
      <c r="D23" s="223"/>
      <c r="E23" s="223"/>
      <c r="F23" s="223"/>
    </row>
    <row r="24" spans="1:6" s="613" customFormat="1">
      <c r="A24" s="614" t="s">
        <v>600</v>
      </c>
      <c r="B24" s="233" t="s">
        <v>24</v>
      </c>
      <c r="C24" s="617">
        <f>+C25+C26+C27+C28</f>
        <v>0</v>
      </c>
      <c r="D24" s="617">
        <f>+D25+D26+D27+D28</f>
        <v>4821</v>
      </c>
      <c r="E24" s="617">
        <f>+E25+E26+E27+E28</f>
        <v>0</v>
      </c>
      <c r="F24" s="617">
        <f>+F25+F26+F27+F28</f>
        <v>4821</v>
      </c>
    </row>
    <row r="25" spans="1:6" s="613" customFormat="1">
      <c r="A25" s="616" t="s">
        <v>601</v>
      </c>
      <c r="B25" s="233" t="s">
        <v>25</v>
      </c>
      <c r="C25" s="223"/>
      <c r="D25" s="223"/>
      <c r="E25" s="223"/>
      <c r="F25" s="223"/>
    </row>
    <row r="26" spans="1:6" s="613" customFormat="1" ht="22.5">
      <c r="A26" s="616" t="s">
        <v>602</v>
      </c>
      <c r="B26" s="233" t="s">
        <v>26</v>
      </c>
      <c r="C26" s="223"/>
      <c r="D26" s="223"/>
      <c r="E26" s="223"/>
      <c r="F26" s="223"/>
    </row>
    <row r="27" spans="1:6" s="613" customFormat="1">
      <c r="A27" s="616" t="s">
        <v>603</v>
      </c>
      <c r="B27" s="233" t="s">
        <v>27</v>
      </c>
      <c r="C27" s="223"/>
      <c r="D27" s="223">
        <v>4821</v>
      </c>
      <c r="E27" s="223"/>
      <c r="F27" s="223">
        <v>4821</v>
      </c>
    </row>
    <row r="28" spans="1:6" s="613" customFormat="1">
      <c r="A28" s="616" t="s">
        <v>604</v>
      </c>
      <c r="B28" s="233" t="s">
        <v>28</v>
      </c>
      <c r="C28" s="223"/>
      <c r="D28" s="223"/>
      <c r="E28" s="223"/>
      <c r="F28" s="223"/>
    </row>
    <row r="29" spans="1:6" s="613" customFormat="1">
      <c r="A29" s="614" t="s">
        <v>605</v>
      </c>
      <c r="B29" s="233" t="s">
        <v>29</v>
      </c>
      <c r="C29" s="617"/>
      <c r="D29" s="617">
        <f>+D30+D31+D32+D33</f>
        <v>0</v>
      </c>
      <c r="E29" s="617">
        <f>+E30+E31+E32+E33</f>
        <v>0</v>
      </c>
      <c r="F29" s="617">
        <f>+F30+F31+F32+F33</f>
        <v>0</v>
      </c>
    </row>
    <row r="30" spans="1:6" s="613" customFormat="1">
      <c r="A30" s="616" t="s">
        <v>606</v>
      </c>
      <c r="B30" s="233" t="s">
        <v>30</v>
      </c>
      <c r="C30" s="223"/>
      <c r="D30" s="223"/>
      <c r="E30" s="223"/>
      <c r="F30" s="223"/>
    </row>
    <row r="31" spans="1:6" s="613" customFormat="1" ht="22.5">
      <c r="A31" s="616" t="s">
        <v>607</v>
      </c>
      <c r="B31" s="233" t="s">
        <v>31</v>
      </c>
      <c r="C31" s="223"/>
      <c r="D31" s="223"/>
      <c r="E31" s="223"/>
      <c r="F31" s="223"/>
    </row>
    <row r="32" spans="1:6" s="613" customFormat="1">
      <c r="A32" s="616" t="s">
        <v>608</v>
      </c>
      <c r="B32" s="233" t="s">
        <v>32</v>
      </c>
      <c r="C32" s="223"/>
      <c r="D32" s="223"/>
      <c r="E32" s="223"/>
      <c r="F32" s="223"/>
    </row>
    <row r="33" spans="1:6" s="613" customFormat="1">
      <c r="A33" s="616" t="s">
        <v>609</v>
      </c>
      <c r="B33" s="233" t="s">
        <v>33</v>
      </c>
      <c r="C33" s="223"/>
      <c r="D33" s="223"/>
      <c r="E33" s="223"/>
      <c r="F33" s="223"/>
    </row>
    <row r="34" spans="1:6" s="613" customFormat="1">
      <c r="A34" s="614" t="s">
        <v>610</v>
      </c>
      <c r="B34" s="233" t="s">
        <v>34</v>
      </c>
      <c r="C34" s="617">
        <f>+C35+C40+C45</f>
        <v>184595</v>
      </c>
      <c r="D34" s="617">
        <f>+D35+D40+D45</f>
        <v>184595</v>
      </c>
      <c r="E34" s="617">
        <f>+E35+E40+E45</f>
        <v>0</v>
      </c>
      <c r="F34" s="617">
        <f>+F35+F40+F45</f>
        <v>184595</v>
      </c>
    </row>
    <row r="35" spans="1:6" s="613" customFormat="1">
      <c r="A35" s="614" t="s">
        <v>611</v>
      </c>
      <c r="B35" s="233" t="s">
        <v>35</v>
      </c>
      <c r="C35" s="617">
        <f>+C36+C37+C38+C39</f>
        <v>184595</v>
      </c>
      <c r="D35" s="617">
        <f>+D36+D37+D38+D39</f>
        <v>184595</v>
      </c>
      <c r="E35" s="617">
        <f>+E36+E37+E38+E39</f>
        <v>0</v>
      </c>
      <c r="F35" s="617">
        <f>+F36+F37+F38+F39</f>
        <v>184595</v>
      </c>
    </row>
    <row r="36" spans="1:6" s="613" customFormat="1">
      <c r="A36" s="616" t="s">
        <v>612</v>
      </c>
      <c r="B36" s="233" t="s">
        <v>91</v>
      </c>
      <c r="C36" s="223"/>
      <c r="D36" s="223"/>
      <c r="E36" s="223"/>
      <c r="F36" s="223"/>
    </row>
    <row r="37" spans="1:6" s="613" customFormat="1" ht="22.5">
      <c r="A37" s="616" t="s">
        <v>613</v>
      </c>
      <c r="B37" s="233" t="s">
        <v>187</v>
      </c>
      <c r="C37" s="223">
        <v>184595</v>
      </c>
      <c r="D37" s="223">
        <v>184595</v>
      </c>
      <c r="E37" s="223"/>
      <c r="F37" s="223">
        <v>184595</v>
      </c>
    </row>
    <row r="38" spans="1:6" s="613" customFormat="1">
      <c r="A38" s="616" t="s">
        <v>614</v>
      </c>
      <c r="B38" s="233" t="s">
        <v>241</v>
      </c>
      <c r="C38" s="223"/>
      <c r="D38" s="223"/>
      <c r="E38" s="223"/>
      <c r="F38" s="223"/>
    </row>
    <row r="39" spans="1:6" s="613" customFormat="1">
      <c r="A39" s="616" t="s">
        <v>615</v>
      </c>
      <c r="B39" s="233" t="s">
        <v>242</v>
      </c>
      <c r="C39" s="223"/>
      <c r="D39" s="223"/>
      <c r="E39" s="223"/>
      <c r="F39" s="223"/>
    </row>
    <row r="40" spans="1:6" s="613" customFormat="1">
      <c r="A40" s="614" t="s">
        <v>616</v>
      </c>
      <c r="B40" s="233" t="s">
        <v>256</v>
      </c>
      <c r="C40" s="617"/>
      <c r="D40" s="617">
        <f>+D41+D42+D43+D44</f>
        <v>0</v>
      </c>
      <c r="E40" s="617">
        <f>+E41+E42+E43+E44</f>
        <v>0</v>
      </c>
      <c r="F40" s="617">
        <f>+F41+F42+F43+F44</f>
        <v>0</v>
      </c>
    </row>
    <row r="41" spans="1:6" s="613" customFormat="1">
      <c r="A41" s="616" t="s">
        <v>617</v>
      </c>
      <c r="B41" s="233" t="s">
        <v>257</v>
      </c>
      <c r="C41" s="223"/>
      <c r="D41" s="223"/>
      <c r="E41" s="223"/>
      <c r="F41" s="223"/>
    </row>
    <row r="42" spans="1:6" s="613" customFormat="1" ht="33.75">
      <c r="A42" s="616" t="s">
        <v>618</v>
      </c>
      <c r="B42" s="233" t="s">
        <v>258</v>
      </c>
      <c r="C42" s="223"/>
      <c r="D42" s="223"/>
      <c r="E42" s="223"/>
      <c r="F42" s="223"/>
    </row>
    <row r="43" spans="1:6" s="613" customFormat="1" ht="22.5">
      <c r="A43" s="616" t="s">
        <v>619</v>
      </c>
      <c r="B43" s="233" t="s">
        <v>259</v>
      </c>
      <c r="C43" s="223"/>
      <c r="D43" s="223"/>
      <c r="E43" s="223"/>
      <c r="F43" s="223"/>
    </row>
    <row r="44" spans="1:6" s="613" customFormat="1">
      <c r="A44" s="616" t="s">
        <v>620</v>
      </c>
      <c r="B44" s="233" t="s">
        <v>260</v>
      </c>
      <c r="C44" s="223"/>
      <c r="D44" s="223"/>
      <c r="E44" s="223"/>
      <c r="F44" s="223"/>
    </row>
    <row r="45" spans="1:6" s="613" customFormat="1" ht="21">
      <c r="A45" s="614" t="s">
        <v>621</v>
      </c>
      <c r="B45" s="233" t="s">
        <v>261</v>
      </c>
      <c r="C45" s="617"/>
      <c r="D45" s="617">
        <f>+D46+D47+D48+D49</f>
        <v>0</v>
      </c>
      <c r="E45" s="617">
        <f>+E46+E47+E48+E49</f>
        <v>0</v>
      </c>
      <c r="F45" s="617">
        <f>+F46+F47+F48+F49</f>
        <v>0</v>
      </c>
    </row>
    <row r="46" spans="1:6" s="613" customFormat="1">
      <c r="A46" s="616" t="s">
        <v>622</v>
      </c>
      <c r="B46" s="233" t="s">
        <v>262</v>
      </c>
      <c r="C46" s="223"/>
      <c r="D46" s="223"/>
      <c r="E46" s="223"/>
      <c r="F46" s="223"/>
    </row>
    <row r="47" spans="1:6" s="613" customFormat="1" ht="33.75">
      <c r="A47" s="616" t="s">
        <v>623</v>
      </c>
      <c r="B47" s="233" t="s">
        <v>263</v>
      </c>
      <c r="C47" s="223"/>
      <c r="D47" s="223"/>
      <c r="E47" s="223"/>
      <c r="F47" s="223"/>
    </row>
    <row r="48" spans="1:6" s="613" customFormat="1" ht="22.5">
      <c r="A48" s="616" t="s">
        <v>624</v>
      </c>
      <c r="B48" s="233" t="s">
        <v>264</v>
      </c>
      <c r="C48" s="223"/>
      <c r="D48" s="223"/>
      <c r="E48" s="223"/>
      <c r="F48" s="223"/>
    </row>
    <row r="49" spans="1:6" s="613" customFormat="1">
      <c r="A49" s="616" t="s">
        <v>625</v>
      </c>
      <c r="B49" s="233" t="s">
        <v>265</v>
      </c>
      <c r="C49" s="223"/>
      <c r="D49" s="223"/>
      <c r="E49" s="223"/>
      <c r="F49" s="223"/>
    </row>
    <row r="50" spans="1:6" s="613" customFormat="1">
      <c r="A50" s="614" t="s">
        <v>626</v>
      </c>
      <c r="B50" s="233" t="s">
        <v>266</v>
      </c>
      <c r="C50" s="223">
        <v>613633</v>
      </c>
      <c r="D50" s="223">
        <v>613633</v>
      </c>
      <c r="E50" s="223"/>
      <c r="F50" s="223">
        <v>613633</v>
      </c>
    </row>
    <row r="51" spans="1:6" s="613" customFormat="1" ht="21">
      <c r="A51" s="614" t="s">
        <v>627</v>
      </c>
      <c r="B51" s="233" t="s">
        <v>267</v>
      </c>
      <c r="C51" s="617">
        <f>+C7+C8+C34+C50</f>
        <v>5390830</v>
      </c>
      <c r="D51" s="617">
        <f>+D7+D8+D34+D50</f>
        <v>5344079</v>
      </c>
      <c r="E51" s="617">
        <f>+E7+E8+E34+E50</f>
        <v>11463</v>
      </c>
      <c r="F51" s="617">
        <f>+F7+F8+F34+F50</f>
        <v>5355542</v>
      </c>
    </row>
    <row r="52" spans="1:6" s="613" customFormat="1">
      <c r="A52" s="614" t="s">
        <v>628</v>
      </c>
      <c r="B52" s="233" t="s">
        <v>268</v>
      </c>
      <c r="C52" s="223">
        <v>1092</v>
      </c>
      <c r="D52" s="223"/>
      <c r="E52" s="223">
        <v>4289</v>
      </c>
      <c r="F52" s="223">
        <v>4289</v>
      </c>
    </row>
    <row r="53" spans="1:6" s="613" customFormat="1">
      <c r="A53" s="614" t="s">
        <v>629</v>
      </c>
      <c r="B53" s="233" t="s">
        <v>269</v>
      </c>
      <c r="C53" s="223"/>
      <c r="D53" s="223"/>
      <c r="E53" s="223"/>
      <c r="F53" s="223"/>
    </row>
    <row r="54" spans="1:6" s="613" customFormat="1">
      <c r="A54" s="614" t="s">
        <v>630</v>
      </c>
      <c r="B54" s="233" t="s">
        <v>270</v>
      </c>
      <c r="C54" s="617">
        <f>+C52+C53</f>
        <v>1092</v>
      </c>
      <c r="D54" s="617">
        <f>+D52+D53</f>
        <v>0</v>
      </c>
      <c r="E54" s="617">
        <f>+E52+E53</f>
        <v>4289</v>
      </c>
      <c r="F54" s="617">
        <f>+F52+F53</f>
        <v>4289</v>
      </c>
    </row>
    <row r="55" spans="1:6" s="613" customFormat="1">
      <c r="A55" s="614" t="s">
        <v>631</v>
      </c>
      <c r="B55" s="233" t="s">
        <v>271</v>
      </c>
      <c r="C55" s="223"/>
      <c r="D55" s="223"/>
      <c r="E55" s="223"/>
      <c r="F55" s="223"/>
    </row>
    <row r="56" spans="1:6" s="613" customFormat="1">
      <c r="A56" s="614" t="s">
        <v>632</v>
      </c>
      <c r="B56" s="233" t="s">
        <v>272</v>
      </c>
      <c r="C56" s="223">
        <v>1450</v>
      </c>
      <c r="D56" s="223">
        <v>1003</v>
      </c>
      <c r="E56" s="223">
        <v>1405</v>
      </c>
      <c r="F56" s="223">
        <v>2408</v>
      </c>
    </row>
    <row r="57" spans="1:6" s="613" customFormat="1">
      <c r="A57" s="614" t="s">
        <v>633</v>
      </c>
      <c r="B57" s="233" t="s">
        <v>273</v>
      </c>
      <c r="C57" s="223">
        <v>48701</v>
      </c>
      <c r="D57" s="223">
        <v>80458</v>
      </c>
      <c r="E57" s="223">
        <v>513</v>
      </c>
      <c r="F57" s="223">
        <v>80971</v>
      </c>
    </row>
    <row r="58" spans="1:6" s="613" customFormat="1">
      <c r="A58" s="614" t="s">
        <v>634</v>
      </c>
      <c r="B58" s="233" t="s">
        <v>274</v>
      </c>
      <c r="C58" s="223"/>
      <c r="D58" s="223"/>
      <c r="E58" s="223"/>
      <c r="F58" s="223"/>
    </row>
    <row r="59" spans="1:6" s="613" customFormat="1">
      <c r="A59" s="614" t="s">
        <v>635</v>
      </c>
      <c r="B59" s="233" t="s">
        <v>275</v>
      </c>
      <c r="C59" s="617">
        <f>+C55+C56+C57+C58</f>
        <v>50151</v>
      </c>
      <c r="D59" s="617">
        <f>+D55+D56+D57+D58</f>
        <v>81461</v>
      </c>
      <c r="E59" s="617">
        <f>+E55+E56+E57+E58</f>
        <v>1918</v>
      </c>
      <c r="F59" s="617">
        <f>+F55+F56+F57+F58</f>
        <v>83379</v>
      </c>
    </row>
    <row r="60" spans="1:6" s="613" customFormat="1">
      <c r="A60" s="614" t="s">
        <v>636</v>
      </c>
      <c r="B60" s="233" t="s">
        <v>276</v>
      </c>
      <c r="C60" s="223">
        <v>24222</v>
      </c>
      <c r="D60" s="223">
        <v>29891</v>
      </c>
      <c r="E60" s="223">
        <v>5840</v>
      </c>
      <c r="F60" s="223">
        <v>35731</v>
      </c>
    </row>
    <row r="61" spans="1:6" s="613" customFormat="1">
      <c r="A61" s="614" t="s">
        <v>637</v>
      </c>
      <c r="B61" s="233" t="s">
        <v>277</v>
      </c>
      <c r="C61" s="223">
        <v>100</v>
      </c>
      <c r="D61" s="223">
        <v>133</v>
      </c>
      <c r="E61" s="223"/>
      <c r="F61" s="223">
        <v>133</v>
      </c>
    </row>
    <row r="62" spans="1:6" s="613" customFormat="1">
      <c r="A62" s="614" t="s">
        <v>638</v>
      </c>
      <c r="B62" s="233" t="s">
        <v>278</v>
      </c>
      <c r="C62" s="223">
        <v>4985</v>
      </c>
      <c r="D62" s="223">
        <v>2802</v>
      </c>
      <c r="E62" s="223">
        <v>1026</v>
      </c>
      <c r="F62" s="223">
        <v>3828</v>
      </c>
    </row>
    <row r="63" spans="1:6" s="613" customFormat="1">
      <c r="A63" s="614" t="s">
        <v>639</v>
      </c>
      <c r="B63" s="233" t="s">
        <v>279</v>
      </c>
      <c r="C63" s="617">
        <f>+C60+C61+C62</f>
        <v>29307</v>
      </c>
      <c r="D63" s="617">
        <f>+D60+D61+D62</f>
        <v>32826</v>
      </c>
      <c r="E63" s="617">
        <f>+E60+E61+E62</f>
        <v>6866</v>
      </c>
      <c r="F63" s="617">
        <f>+F60+F61+F62</f>
        <v>39692</v>
      </c>
    </row>
    <row r="64" spans="1:6" s="613" customFormat="1">
      <c r="A64" s="614" t="s">
        <v>765</v>
      </c>
      <c r="B64" s="233" t="s">
        <v>280</v>
      </c>
      <c r="C64" s="617"/>
      <c r="D64" s="617">
        <v>-31</v>
      </c>
      <c r="E64" s="617">
        <v>-1672</v>
      </c>
      <c r="F64" s="617">
        <v>-1703</v>
      </c>
    </row>
    <row r="65" spans="1:6" s="613" customFormat="1">
      <c r="A65" s="614" t="s">
        <v>766</v>
      </c>
      <c r="B65" s="233" t="s">
        <v>281</v>
      </c>
      <c r="C65" s="223">
        <v>42233</v>
      </c>
      <c r="D65" s="223">
        <v>13</v>
      </c>
      <c r="E65" s="223">
        <v>208</v>
      </c>
      <c r="F65" s="223">
        <v>221</v>
      </c>
    </row>
    <row r="66" spans="1:6" s="613" customFormat="1" ht="31.5">
      <c r="A66" s="614" t="s">
        <v>767</v>
      </c>
      <c r="B66" s="233" t="s">
        <v>282</v>
      </c>
      <c r="C66" s="223"/>
      <c r="D66" s="223"/>
      <c r="E66" s="223">
        <v>221</v>
      </c>
      <c r="F66" s="223">
        <v>221</v>
      </c>
    </row>
    <row r="67" spans="1:6" s="613" customFormat="1">
      <c r="A67" s="614" t="s">
        <v>640</v>
      </c>
      <c r="B67" s="233" t="s">
        <v>283</v>
      </c>
      <c r="C67" s="617">
        <f>+C65+C66+C64</f>
        <v>42233</v>
      </c>
      <c r="D67" s="617">
        <f>+D65+D66+D64</f>
        <v>-18</v>
      </c>
      <c r="E67" s="617">
        <f t="shared" ref="E67:F67" si="0">+E65+E66+E64</f>
        <v>-1243</v>
      </c>
      <c r="F67" s="617">
        <f t="shared" si="0"/>
        <v>-1261</v>
      </c>
    </row>
    <row r="68" spans="1:6" s="613" customFormat="1">
      <c r="A68" s="614" t="s">
        <v>641</v>
      </c>
      <c r="B68" s="233" t="s">
        <v>284</v>
      </c>
      <c r="C68" s="223"/>
      <c r="D68" s="223"/>
      <c r="E68" s="223"/>
      <c r="F68" s="223"/>
    </row>
    <row r="69" spans="1:6" s="613" customFormat="1" ht="16.5" thickBot="1">
      <c r="A69" s="618" t="s">
        <v>642</v>
      </c>
      <c r="B69" s="235" t="s">
        <v>768</v>
      </c>
      <c r="C69" s="619">
        <f>+C51+C54+C59+C63+C67+C68</f>
        <v>5513613</v>
      </c>
      <c r="D69" s="619">
        <f>+D51+D54+D59+D63+D67+D68</f>
        <v>5458348</v>
      </c>
      <c r="E69" s="619">
        <f>+E51+E54+E59+E63+E67+E68</f>
        <v>23293</v>
      </c>
      <c r="F69" s="619">
        <f>+F51+F54+F59+F63+F67+F68</f>
        <v>5481641</v>
      </c>
    </row>
    <row r="70" spans="1:6">
      <c r="A70" s="620"/>
      <c r="D70" s="621"/>
      <c r="E70" s="621"/>
      <c r="F70" s="622"/>
    </row>
    <row r="71" spans="1:6">
      <c r="A71" s="620"/>
      <c r="D71" s="621"/>
      <c r="E71" s="621"/>
      <c r="F71" s="622"/>
    </row>
    <row r="72" spans="1:6">
      <c r="A72" s="623"/>
      <c r="D72" s="621"/>
      <c r="E72" s="621"/>
      <c r="F72" s="622"/>
    </row>
    <row r="73" spans="1:6">
      <c r="A73" s="884"/>
      <c r="B73" s="884"/>
      <c r="C73" s="884"/>
      <c r="D73" s="884"/>
      <c r="E73" s="884"/>
      <c r="F73" s="884"/>
    </row>
    <row r="74" spans="1:6">
      <c r="A74" s="884"/>
      <c r="B74" s="884"/>
      <c r="C74" s="884"/>
      <c r="D74" s="884"/>
      <c r="E74" s="884"/>
      <c r="F74" s="884"/>
    </row>
  </sheetData>
  <mergeCells count="11">
    <mergeCell ref="A73:F73"/>
    <mergeCell ref="A74:F74"/>
    <mergeCell ref="A1:F1"/>
    <mergeCell ref="D2:F2"/>
    <mergeCell ref="A3:A5"/>
    <mergeCell ref="B3:B5"/>
    <mergeCell ref="D3:D4"/>
    <mergeCell ref="E3:E4"/>
    <mergeCell ref="F3:F4"/>
    <mergeCell ref="C3:C4"/>
    <mergeCell ref="C5:F5"/>
  </mergeCells>
  <phoneticPr fontId="27" type="noConversion"/>
  <printOptions horizontalCentered="1"/>
  <pageMargins left="0.78740157480314965" right="0.82677165354330717" top="1.1023622047244095" bottom="0.98425196850393704" header="0.78740157480314965" footer="0.78740157480314965"/>
  <pageSetup paperSize="9" scale="79" orientation="portrait" horizontalDpi="300" verticalDpi="300" r:id="rId1"/>
  <headerFooter alignWithMargins="0">
    <oddHeader>&amp;L&amp;"Times New Roman,Félkövér dőlt"Ibrány Város Önkormányzata&amp;R&amp;"Times New Roman,Félkövér dőlt"11. számú melléklet a 15/2017. (V. 30.) önkormányzati rendelethez</oddHeader>
    <oddFooter>&amp;C&amp;P</oddFooter>
  </headerFooter>
  <rowBreaks count="1" manualBreakCount="1">
    <brk id="44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rgb="FF92D050"/>
  </sheetPr>
  <dimension ref="A1:F26"/>
  <sheetViews>
    <sheetView view="pageLayout" zoomScaleNormal="100" workbookViewId="0">
      <selection activeCell="E7" sqref="E7"/>
    </sheetView>
  </sheetViews>
  <sheetFormatPr defaultRowHeight="12.75"/>
  <cols>
    <col min="1" max="1" width="46.83203125" style="228" customWidth="1"/>
    <col min="2" max="2" width="6.1640625" style="237" customWidth="1"/>
    <col min="3" max="3" width="12.33203125" style="237" customWidth="1"/>
    <col min="4" max="4" width="13.5" style="625" customWidth="1"/>
    <col min="5" max="5" width="12.33203125" style="625" customWidth="1"/>
    <col min="6" max="6" width="12.83203125" style="625" customWidth="1"/>
    <col min="7" max="16384" width="9.33203125" style="625"/>
  </cols>
  <sheetData>
    <row r="1" spans="1:6" ht="32.25" customHeight="1">
      <c r="A1" s="904" t="s">
        <v>285</v>
      </c>
      <c r="B1" s="904"/>
      <c r="C1" s="904"/>
      <c r="D1" s="904"/>
      <c r="E1" s="904"/>
      <c r="F1" s="904"/>
    </row>
    <row r="2" spans="1:6" ht="15.75">
      <c r="A2" s="905" t="str">
        <f>+CONCATENATE(LEFT(ÖSSZEFÜGGÉSEK!A4,4),". év")</f>
        <v>2016. év</v>
      </c>
      <c r="B2" s="905"/>
      <c r="C2" s="905"/>
      <c r="D2" s="905"/>
      <c r="E2" s="905"/>
      <c r="F2" s="905"/>
    </row>
    <row r="4" spans="1:6" ht="13.5" thickBot="1">
      <c r="B4" s="903"/>
      <c r="C4" s="903"/>
      <c r="D4" s="903"/>
      <c r="E4" s="903" t="s">
        <v>243</v>
      </c>
      <c r="F4" s="903"/>
    </row>
    <row r="5" spans="1:6" s="229" customFormat="1" ht="36" customHeight="1">
      <c r="A5" s="910" t="s">
        <v>286</v>
      </c>
      <c r="B5" s="912" t="s">
        <v>245</v>
      </c>
      <c r="C5" s="781" t="s">
        <v>863</v>
      </c>
      <c r="D5" s="693" t="s">
        <v>762</v>
      </c>
      <c r="E5" s="693" t="s">
        <v>763</v>
      </c>
      <c r="F5" s="658" t="s">
        <v>39</v>
      </c>
    </row>
    <row r="6" spans="1:6" s="229" customFormat="1" ht="12.75" customHeight="1">
      <c r="A6" s="911"/>
      <c r="B6" s="913"/>
      <c r="C6" s="906" t="s">
        <v>246</v>
      </c>
      <c r="D6" s="907"/>
      <c r="E6" s="907"/>
      <c r="F6" s="908"/>
    </row>
    <row r="7" spans="1:6" s="232" customFormat="1" ht="13.5" customHeight="1" thickBot="1">
      <c r="A7" s="230" t="s">
        <v>409</v>
      </c>
      <c r="B7" s="231" t="s">
        <v>410</v>
      </c>
      <c r="C7" s="780"/>
      <c r="D7" s="691" t="s">
        <v>411</v>
      </c>
      <c r="E7" s="690" t="s">
        <v>412</v>
      </c>
      <c r="F7" s="692" t="s">
        <v>413</v>
      </c>
    </row>
    <row r="8" spans="1:6" ht="15.75" customHeight="1">
      <c r="A8" s="610" t="s">
        <v>644</v>
      </c>
      <c r="B8" s="611" t="s">
        <v>247</v>
      </c>
      <c r="C8" s="782">
        <v>5455690</v>
      </c>
      <c r="D8" s="782">
        <v>5411885</v>
      </c>
      <c r="E8" s="782">
        <v>43805</v>
      </c>
      <c r="F8" s="783">
        <v>5455690</v>
      </c>
    </row>
    <row r="9" spans="1:6" ht="15.75" customHeight="1">
      <c r="A9" s="614" t="s">
        <v>645</v>
      </c>
      <c r="B9" s="233" t="s">
        <v>248</v>
      </c>
      <c r="C9" s="686"/>
      <c r="D9" s="686"/>
      <c r="E9" s="686"/>
      <c r="F9" s="784"/>
    </row>
    <row r="10" spans="1:6" ht="15.75" customHeight="1">
      <c r="A10" s="614" t="s">
        <v>646</v>
      </c>
      <c r="B10" s="233" t="s">
        <v>249</v>
      </c>
      <c r="C10" s="686">
        <v>123671</v>
      </c>
      <c r="D10" s="686">
        <v>121941</v>
      </c>
      <c r="E10" s="686">
        <v>-13894</v>
      </c>
      <c r="F10" s="784">
        <v>108047</v>
      </c>
    </row>
    <row r="11" spans="1:6" ht="15.75" customHeight="1">
      <c r="A11" s="614" t="s">
        <v>647</v>
      </c>
      <c r="B11" s="233" t="s">
        <v>250</v>
      </c>
      <c r="C11" s="686">
        <v>-1591139</v>
      </c>
      <c r="D11" s="686">
        <v>-1636006</v>
      </c>
      <c r="E11" s="686">
        <v>-22711</v>
      </c>
      <c r="F11" s="784">
        <v>-1658717</v>
      </c>
    </row>
    <row r="12" spans="1:6" ht="15.75" customHeight="1">
      <c r="A12" s="614" t="s">
        <v>648</v>
      </c>
      <c r="B12" s="233" t="s">
        <v>251</v>
      </c>
      <c r="C12" s="686"/>
      <c r="D12" s="686"/>
      <c r="E12" s="686"/>
      <c r="F12" s="784"/>
    </row>
    <row r="13" spans="1:6" ht="15.75" customHeight="1">
      <c r="A13" s="614" t="s">
        <v>649</v>
      </c>
      <c r="B13" s="233" t="s">
        <v>252</v>
      </c>
      <c r="C13" s="686">
        <v>-81797</v>
      </c>
      <c r="D13" s="686">
        <v>61868</v>
      </c>
      <c r="E13" s="686">
        <v>13642</v>
      </c>
      <c r="F13" s="784">
        <v>75510</v>
      </c>
    </row>
    <row r="14" spans="1:6" ht="15.75" customHeight="1">
      <c r="A14" s="614" t="s">
        <v>650</v>
      </c>
      <c r="B14" s="233" t="s">
        <v>253</v>
      </c>
      <c r="C14" s="687">
        <f>+C8+C9+C10+C11+C12+C13</f>
        <v>3906425</v>
      </c>
      <c r="D14" s="687">
        <f>+D8+D9+D10+D11+D12+D13</f>
        <v>3959688</v>
      </c>
      <c r="E14" s="687">
        <f>+E8+E9+E10+E11+E12+E13</f>
        <v>20842</v>
      </c>
      <c r="F14" s="785">
        <f>+F8+F9+F10+F11+F12+F13</f>
        <v>3980530</v>
      </c>
    </row>
    <row r="15" spans="1:6" ht="15.75" customHeight="1">
      <c r="A15" s="614" t="s">
        <v>715</v>
      </c>
      <c r="B15" s="233" t="s">
        <v>254</v>
      </c>
      <c r="C15" s="688">
        <v>7363</v>
      </c>
      <c r="D15" s="688">
        <v>1599</v>
      </c>
      <c r="E15" s="688">
        <v>2103</v>
      </c>
      <c r="F15" s="786">
        <v>3702</v>
      </c>
    </row>
    <row r="16" spans="1:6" ht="23.25" customHeight="1">
      <c r="A16" s="614" t="s">
        <v>651</v>
      </c>
      <c r="B16" s="233" t="s">
        <v>255</v>
      </c>
      <c r="C16" s="686">
        <v>64555</v>
      </c>
      <c r="D16" s="686">
        <v>63024</v>
      </c>
      <c r="E16" s="686"/>
      <c r="F16" s="784">
        <v>63024</v>
      </c>
    </row>
    <row r="17" spans="1:6" ht="15.75" customHeight="1">
      <c r="A17" s="614" t="s">
        <v>652</v>
      </c>
      <c r="B17" s="233" t="s">
        <v>16</v>
      </c>
      <c r="C17" s="686">
        <v>50309</v>
      </c>
      <c r="D17" s="686">
        <v>5968</v>
      </c>
      <c r="E17" s="686">
        <v>45</v>
      </c>
      <c r="F17" s="784">
        <v>6013</v>
      </c>
    </row>
    <row r="18" spans="1:6" ht="15.75" customHeight="1">
      <c r="A18" s="614" t="s">
        <v>653</v>
      </c>
      <c r="B18" s="233" t="s">
        <v>17</v>
      </c>
      <c r="C18" s="687">
        <f>+C15+C16+C17</f>
        <v>122227</v>
      </c>
      <c r="D18" s="687">
        <f>+D15+D16+D17</f>
        <v>70591</v>
      </c>
      <c r="E18" s="687">
        <f>+E15+E16+E17</f>
        <v>2148</v>
      </c>
      <c r="F18" s="785">
        <f>+F15+F16+F17</f>
        <v>72739</v>
      </c>
    </row>
    <row r="19" spans="1:6" s="626" customFormat="1" ht="27" customHeight="1">
      <c r="A19" s="614" t="s">
        <v>654</v>
      </c>
      <c r="B19" s="233" t="s">
        <v>18</v>
      </c>
      <c r="C19" s="686"/>
      <c r="D19" s="686"/>
      <c r="E19" s="686"/>
      <c r="F19" s="784"/>
    </row>
    <row r="20" spans="1:6" ht="15.75" customHeight="1">
      <c r="A20" s="614" t="s">
        <v>655</v>
      </c>
      <c r="B20" s="233" t="s">
        <v>19</v>
      </c>
      <c r="C20" s="686">
        <v>1484961</v>
      </c>
      <c r="D20" s="686">
        <v>1428069</v>
      </c>
      <c r="E20" s="686">
        <v>303</v>
      </c>
      <c r="F20" s="784">
        <v>1428372</v>
      </c>
    </row>
    <row r="21" spans="1:6" ht="15.75" customHeight="1" thickBot="1">
      <c r="A21" s="234" t="s">
        <v>656</v>
      </c>
      <c r="B21" s="235" t="s">
        <v>20</v>
      </c>
      <c r="C21" s="689">
        <f>+C14+C18+C19+C20</f>
        <v>5513613</v>
      </c>
      <c r="D21" s="689">
        <f>+D14+D18+D19+D20</f>
        <v>5458348</v>
      </c>
      <c r="E21" s="689">
        <f>+E14+E18+E19+E20</f>
        <v>23293</v>
      </c>
      <c r="F21" s="787">
        <f>+F14+F18+F19+F20</f>
        <v>5481641</v>
      </c>
    </row>
    <row r="22" spans="1:6" ht="15.75">
      <c r="A22" s="620"/>
      <c r="B22" s="623"/>
      <c r="C22" s="623"/>
      <c r="D22" s="621"/>
      <c r="E22" s="621"/>
      <c r="F22" s="621"/>
    </row>
    <row r="23" spans="1:6" ht="15.75">
      <c r="A23" s="620"/>
      <c r="B23" s="623"/>
      <c r="C23" s="623"/>
      <c r="D23" s="621"/>
      <c r="E23" s="621"/>
      <c r="F23" s="621"/>
    </row>
    <row r="24" spans="1:6" ht="15.75">
      <c r="A24" s="623"/>
      <c r="B24" s="623"/>
      <c r="C24" s="623"/>
      <c r="D24" s="621"/>
      <c r="E24" s="621"/>
      <c r="F24" s="621"/>
    </row>
    <row r="25" spans="1:6" ht="15.75">
      <c r="A25" s="909"/>
      <c r="B25" s="909"/>
      <c r="C25" s="909"/>
      <c r="D25" s="909"/>
      <c r="E25" s="627"/>
      <c r="F25" s="627"/>
    </row>
    <row r="26" spans="1:6" ht="15.75">
      <c r="A26" s="909"/>
      <c r="B26" s="909"/>
      <c r="C26" s="909"/>
      <c r="D26" s="909"/>
      <c r="E26" s="627"/>
      <c r="F26" s="627"/>
    </row>
  </sheetData>
  <mergeCells count="9">
    <mergeCell ref="A26:D26"/>
    <mergeCell ref="B4:D4"/>
    <mergeCell ref="A5:A6"/>
    <mergeCell ref="B5:B6"/>
    <mergeCell ref="E4:F4"/>
    <mergeCell ref="A1:F1"/>
    <mergeCell ref="A2:F2"/>
    <mergeCell ref="C6:F6"/>
    <mergeCell ref="A25:D25"/>
  </mergeCells>
  <phoneticPr fontId="27" type="noConversion"/>
  <printOptions horizontalCentered="1"/>
  <pageMargins left="0.78740157480314965" right="0.78740157480314965" top="1.2598425196850394" bottom="0.98425196850393704" header="0.78740157480314965" footer="0.78740157480314965"/>
  <pageSetup paperSize="9" scale="91" orientation="portrait" verticalDpi="300" r:id="rId1"/>
  <headerFooter alignWithMargins="0">
    <oddHeader>&amp;L&amp;"Times New Roman,Félkövér dőlt"Ibrány Város Önkormányzata&amp;R12. számú melléklet a 15/2017. (V. 30.) önkormányzati rendelethez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>
    <tabColor rgb="FF92D050"/>
  </sheetPr>
  <dimension ref="A1:F44"/>
  <sheetViews>
    <sheetView view="pageLayout" zoomScaleNormal="100" workbookViewId="0">
      <selection activeCell="C2" sqref="C2"/>
    </sheetView>
  </sheetViews>
  <sheetFormatPr defaultColWidth="12" defaultRowHeight="15.75"/>
  <cols>
    <col min="1" max="1" width="58.83203125" style="222" customWidth="1"/>
    <col min="2" max="2" width="6.83203125" style="222" customWidth="1"/>
    <col min="3" max="3" width="17.1640625" style="222" customWidth="1"/>
    <col min="4" max="4" width="19.1640625" style="222" customWidth="1"/>
    <col min="5" max="16384" width="12" style="222"/>
  </cols>
  <sheetData>
    <row r="1" spans="1:4" ht="48" customHeight="1">
      <c r="A1" s="914" t="str">
        <f>+CONCATENATE("VAGYONKIMUTATÁS",CHAR(10),"az érték nélkül nyilvántartott eszközökről",CHAR(10),LEFT(ÖSSZEFÜGGÉSEK!A4,4),".")</f>
        <v>VAGYONKIMUTATÁS
az érték nélkül nyilvántartott eszközökről
2016.</v>
      </c>
      <c r="B1" s="915"/>
      <c r="C1" s="915"/>
      <c r="D1" s="915"/>
    </row>
    <row r="2" spans="1:4" ht="16.5" thickBot="1"/>
    <row r="3" spans="1:4" ht="43.5" customHeight="1" thickBot="1">
      <c r="A3" s="631" t="s">
        <v>52</v>
      </c>
      <c r="B3" s="327" t="s">
        <v>245</v>
      </c>
      <c r="C3" s="632" t="s">
        <v>287</v>
      </c>
      <c r="D3" s="633" t="s">
        <v>288</v>
      </c>
    </row>
    <row r="4" spans="1:4" ht="16.5" thickBot="1">
      <c r="A4" s="238" t="s">
        <v>409</v>
      </c>
      <c r="B4" s="239" t="s">
        <v>410</v>
      </c>
      <c r="C4" s="239" t="s">
        <v>411</v>
      </c>
      <c r="D4" s="240" t="s">
        <v>412</v>
      </c>
    </row>
    <row r="5" spans="1:4" ht="15.75" customHeight="1">
      <c r="A5" s="249" t="s">
        <v>683</v>
      </c>
      <c r="B5" s="242" t="s">
        <v>7</v>
      </c>
      <c r="C5" s="243">
        <v>323</v>
      </c>
      <c r="D5" s="244">
        <v>172613</v>
      </c>
    </row>
    <row r="6" spans="1:4" ht="15.75" customHeight="1">
      <c r="A6" s="249" t="s">
        <v>684</v>
      </c>
      <c r="B6" s="246" t="s">
        <v>8</v>
      </c>
      <c r="C6" s="247">
        <v>26</v>
      </c>
      <c r="D6" s="248">
        <v>2273</v>
      </c>
    </row>
    <row r="7" spans="1:4" ht="15.75" customHeight="1">
      <c r="A7" s="249" t="s">
        <v>685</v>
      </c>
      <c r="B7" s="246" t="s">
        <v>9</v>
      </c>
      <c r="C7" s="247">
        <v>1683</v>
      </c>
      <c r="D7" s="248">
        <v>53368</v>
      </c>
    </row>
    <row r="8" spans="1:4" ht="15.75" customHeight="1" thickBot="1">
      <c r="A8" s="250" t="s">
        <v>686</v>
      </c>
      <c r="B8" s="251" t="s">
        <v>10</v>
      </c>
      <c r="C8" s="252"/>
      <c r="D8" s="253"/>
    </row>
    <row r="9" spans="1:4" ht="15.75" customHeight="1" thickBot="1">
      <c r="A9" s="635" t="s">
        <v>687</v>
      </c>
      <c r="B9" s="636" t="s">
        <v>11</v>
      </c>
      <c r="C9" s="637"/>
      <c r="D9" s="638">
        <f>+D10+D11+D12+D13</f>
        <v>613633</v>
      </c>
    </row>
    <row r="10" spans="1:4" ht="15.75" customHeight="1">
      <c r="A10" s="634" t="s">
        <v>688</v>
      </c>
      <c r="B10" s="242" t="s">
        <v>12</v>
      </c>
      <c r="C10" s="243">
        <v>1</v>
      </c>
      <c r="D10" s="244">
        <v>613633</v>
      </c>
    </row>
    <row r="11" spans="1:4" ht="15.75" customHeight="1">
      <c r="A11" s="249" t="s">
        <v>689</v>
      </c>
      <c r="B11" s="246" t="s">
        <v>13</v>
      </c>
      <c r="C11" s="247"/>
      <c r="D11" s="248"/>
    </row>
    <row r="12" spans="1:4" ht="15.75" customHeight="1">
      <c r="A12" s="249" t="s">
        <v>690</v>
      </c>
      <c r="B12" s="246" t="s">
        <v>14</v>
      </c>
      <c r="C12" s="247"/>
      <c r="D12" s="248"/>
    </row>
    <row r="13" spans="1:4" ht="15.75" customHeight="1" thickBot="1">
      <c r="A13" s="250" t="s">
        <v>691</v>
      </c>
      <c r="B13" s="251" t="s">
        <v>15</v>
      </c>
      <c r="C13" s="252"/>
      <c r="D13" s="253"/>
    </row>
    <row r="14" spans="1:4" ht="15.75" customHeight="1" thickBot="1">
      <c r="A14" s="635" t="s">
        <v>692</v>
      </c>
      <c r="B14" s="636" t="s">
        <v>16</v>
      </c>
      <c r="C14" s="637"/>
      <c r="D14" s="638">
        <f>+D15+D16+D17</f>
        <v>0</v>
      </c>
    </row>
    <row r="15" spans="1:4" ht="15.75" customHeight="1">
      <c r="A15" s="634" t="s">
        <v>693</v>
      </c>
      <c r="B15" s="242" t="s">
        <v>17</v>
      </c>
      <c r="C15" s="243"/>
      <c r="D15" s="244"/>
    </row>
    <row r="16" spans="1:4" ht="15.75" customHeight="1">
      <c r="A16" s="249" t="s">
        <v>694</v>
      </c>
      <c r="B16" s="246" t="s">
        <v>18</v>
      </c>
      <c r="C16" s="247"/>
      <c r="D16" s="248"/>
    </row>
    <row r="17" spans="1:4" ht="15.75" customHeight="1" thickBot="1">
      <c r="A17" s="250" t="s">
        <v>695</v>
      </c>
      <c r="B17" s="251" t="s">
        <v>19</v>
      </c>
      <c r="C17" s="252"/>
      <c r="D17" s="253"/>
    </row>
    <row r="18" spans="1:4" ht="15.75" customHeight="1" thickBot="1">
      <c r="A18" s="635" t="s">
        <v>701</v>
      </c>
      <c r="B18" s="636" t="s">
        <v>20</v>
      </c>
      <c r="C18" s="637"/>
      <c r="D18" s="638">
        <f>+D19+D20+D21</f>
        <v>0</v>
      </c>
    </row>
    <row r="19" spans="1:4" ht="15.75" customHeight="1">
      <c r="A19" s="634" t="s">
        <v>696</v>
      </c>
      <c r="B19" s="242" t="s">
        <v>21</v>
      </c>
      <c r="C19" s="243"/>
      <c r="D19" s="244"/>
    </row>
    <row r="20" spans="1:4" ht="15.75" customHeight="1">
      <c r="A20" s="249" t="s">
        <v>697</v>
      </c>
      <c r="B20" s="246" t="s">
        <v>22</v>
      </c>
      <c r="C20" s="247"/>
      <c r="D20" s="248"/>
    </row>
    <row r="21" spans="1:4" ht="15.75" customHeight="1">
      <c r="A21" s="249" t="s">
        <v>698</v>
      </c>
      <c r="B21" s="246" t="s">
        <v>23</v>
      </c>
      <c r="C21" s="247"/>
      <c r="D21" s="248"/>
    </row>
    <row r="22" spans="1:4" ht="15.75" customHeight="1">
      <c r="A22" s="249" t="s">
        <v>699</v>
      </c>
      <c r="B22" s="246" t="s">
        <v>24</v>
      </c>
      <c r="C22" s="247"/>
      <c r="D22" s="248"/>
    </row>
    <row r="23" spans="1:4" ht="15.75" customHeight="1">
      <c r="A23" s="249"/>
      <c r="B23" s="246" t="s">
        <v>25</v>
      </c>
      <c r="C23" s="247"/>
      <c r="D23" s="248"/>
    </row>
    <row r="24" spans="1:4" ht="15.75" customHeight="1">
      <c r="A24" s="249"/>
      <c r="B24" s="246" t="s">
        <v>26</v>
      </c>
      <c r="C24" s="247"/>
      <c r="D24" s="248"/>
    </row>
    <row r="25" spans="1:4" ht="15.75" customHeight="1">
      <c r="A25" s="249"/>
      <c r="B25" s="246" t="s">
        <v>27</v>
      </c>
      <c r="C25" s="247"/>
      <c r="D25" s="248"/>
    </row>
    <row r="26" spans="1:4" ht="15.75" customHeight="1">
      <c r="A26" s="249"/>
      <c r="B26" s="246" t="s">
        <v>28</v>
      </c>
      <c r="C26" s="247"/>
      <c r="D26" s="248"/>
    </row>
    <row r="27" spans="1:4" ht="15.75" customHeight="1">
      <c r="A27" s="249"/>
      <c r="B27" s="246" t="s">
        <v>29</v>
      </c>
      <c r="C27" s="247"/>
      <c r="D27" s="248"/>
    </row>
    <row r="28" spans="1:4" ht="15.75" customHeight="1">
      <c r="A28" s="249"/>
      <c r="B28" s="246" t="s">
        <v>30</v>
      </c>
      <c r="C28" s="247"/>
      <c r="D28" s="248"/>
    </row>
    <row r="29" spans="1:4" ht="15.75" customHeight="1">
      <c r="A29" s="249"/>
      <c r="B29" s="246" t="s">
        <v>31</v>
      </c>
      <c r="C29" s="247"/>
      <c r="D29" s="248"/>
    </row>
    <row r="30" spans="1:4" ht="15.75" customHeight="1">
      <c r="A30" s="249"/>
      <c r="B30" s="246" t="s">
        <v>32</v>
      </c>
      <c r="C30" s="247"/>
      <c r="D30" s="248"/>
    </row>
    <row r="31" spans="1:4" ht="15.75" customHeight="1">
      <c r="A31" s="249"/>
      <c r="B31" s="246" t="s">
        <v>33</v>
      </c>
      <c r="C31" s="247"/>
      <c r="D31" s="248"/>
    </row>
    <row r="32" spans="1:4" ht="15.75" customHeight="1">
      <c r="A32" s="249"/>
      <c r="B32" s="246" t="s">
        <v>34</v>
      </c>
      <c r="C32" s="247"/>
      <c r="D32" s="248"/>
    </row>
    <row r="33" spans="1:6" ht="15.75" customHeight="1">
      <c r="A33" s="249"/>
      <c r="B33" s="246" t="s">
        <v>35</v>
      </c>
      <c r="C33" s="247"/>
      <c r="D33" s="248"/>
    </row>
    <row r="34" spans="1:6" ht="15.75" customHeight="1">
      <c r="A34" s="249"/>
      <c r="B34" s="246" t="s">
        <v>91</v>
      </c>
      <c r="C34" s="247"/>
      <c r="D34" s="248"/>
    </row>
    <row r="35" spans="1:6" ht="15.75" customHeight="1">
      <c r="A35" s="249"/>
      <c r="B35" s="246" t="s">
        <v>187</v>
      </c>
      <c r="C35" s="247"/>
      <c r="D35" s="248"/>
    </row>
    <row r="36" spans="1:6" ht="15.75" customHeight="1">
      <c r="A36" s="249"/>
      <c r="B36" s="246" t="s">
        <v>241</v>
      </c>
      <c r="C36" s="247"/>
      <c r="D36" s="248"/>
    </row>
    <row r="37" spans="1:6" ht="15.75" customHeight="1" thickBot="1">
      <c r="A37" s="250"/>
      <c r="B37" s="251" t="s">
        <v>242</v>
      </c>
      <c r="C37" s="252"/>
      <c r="D37" s="253"/>
    </row>
    <row r="38" spans="1:6" ht="15.75" customHeight="1" thickBot="1">
      <c r="A38" s="916" t="s">
        <v>700</v>
      </c>
      <c r="B38" s="917"/>
      <c r="C38" s="254"/>
      <c r="D38" s="638">
        <f>+D5+D6+D7+D8+D9+D14+D18+D22+D23+D24+D25+D26+D27+D28+D29+D30+D31+D32+D33+D34+D35+D36+D37</f>
        <v>841887</v>
      </c>
      <c r="F38" s="255"/>
    </row>
    <row r="39" spans="1:6">
      <c r="A39" s="639" t="s">
        <v>702</v>
      </c>
    </row>
    <row r="40" spans="1:6">
      <c r="A40" s="225"/>
      <c r="B40" s="226"/>
      <c r="C40" s="918"/>
      <c r="D40" s="918"/>
    </row>
    <row r="41" spans="1:6">
      <c r="A41" s="225"/>
      <c r="B41" s="226"/>
      <c r="C41" s="227"/>
      <c r="D41" s="227"/>
    </row>
    <row r="42" spans="1:6">
      <c r="A42" s="226"/>
      <c r="B42" s="226"/>
      <c r="C42" s="918"/>
      <c r="D42" s="918"/>
    </row>
    <row r="43" spans="1:6">
      <c r="A43" s="236"/>
      <c r="B43" s="236"/>
    </row>
    <row r="44" spans="1:6">
      <c r="A44" s="236"/>
      <c r="B44" s="236"/>
      <c r="C44" s="236"/>
    </row>
  </sheetData>
  <sheetProtection sheet="1" objects="1" scenarios="1"/>
  <mergeCells count="4">
    <mergeCell ref="A1:D1"/>
    <mergeCell ref="A38:B38"/>
    <mergeCell ref="C40:D40"/>
    <mergeCell ref="C42:D42"/>
  </mergeCells>
  <phoneticPr fontId="27" type="noConversion"/>
  <printOptions horizontalCentered="1"/>
  <pageMargins left="0.78740157480314965" right="0.78740157480314965" top="1.1417322834645669" bottom="0.98425196850393704" header="0.78740157480314965" footer="0.78740157480314965"/>
  <pageSetup paperSize="9" scale="93" orientation="portrait" r:id="rId1"/>
  <headerFooter alignWithMargins="0">
    <oddHeader>&amp;L&amp;"Times New Roman,Félkövér dőlt"Ibrány Város Önkormányzata&amp;R13. számú melléklet a 15/2017. (V. 30.) önkormányzati rendelethez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>
    <tabColor rgb="FF92D050"/>
  </sheetPr>
  <dimension ref="A1:F38"/>
  <sheetViews>
    <sheetView view="pageLayout" zoomScaleNormal="100" workbookViewId="0">
      <selection activeCell="D3" sqref="D3"/>
    </sheetView>
  </sheetViews>
  <sheetFormatPr defaultColWidth="12" defaultRowHeight="15.75"/>
  <cols>
    <col min="1" max="1" width="56.1640625" style="222" customWidth="1"/>
    <col min="2" max="2" width="6.83203125" style="222" customWidth="1"/>
    <col min="3" max="3" width="17.1640625" style="222" customWidth="1"/>
    <col min="4" max="4" width="19.1640625" style="222" customWidth="1"/>
    <col min="5" max="16384" width="12" style="222"/>
  </cols>
  <sheetData>
    <row r="1" spans="1:4" ht="48.75" customHeight="1">
      <c r="A1" s="919" t="str">
        <f>+CONCATENATE("VAGYONKIMUTATÁS",CHAR(10),"a függő követelésekről éa kötelezettségekről, a biztos (jövőbeni) követelésekről",CHAR(10),LEFT(ÖSSZEFÜGGÉSEK!A4,4),".")</f>
        <v>VAGYONKIMUTATÁS
a függő követelésekről éa kötelezettségekről, a biztos (jövőbeni) követelésekről
2016.</v>
      </c>
      <c r="B1" s="920"/>
      <c r="C1" s="920"/>
      <c r="D1" s="920"/>
    </row>
    <row r="2" spans="1:4" ht="16.5" thickBot="1"/>
    <row r="3" spans="1:4" ht="64.5" thickBot="1">
      <c r="A3" s="640" t="s">
        <v>52</v>
      </c>
      <c r="B3" s="327" t="s">
        <v>245</v>
      </c>
      <c r="C3" s="641" t="s">
        <v>703</v>
      </c>
      <c r="D3" s="642" t="s">
        <v>288</v>
      </c>
    </row>
    <row r="4" spans="1:4" ht="16.5" thickBot="1">
      <c r="A4" s="256" t="s">
        <v>409</v>
      </c>
      <c r="B4" s="257" t="s">
        <v>410</v>
      </c>
      <c r="C4" s="257" t="s">
        <v>411</v>
      </c>
      <c r="D4" s="258" t="s">
        <v>412</v>
      </c>
    </row>
    <row r="5" spans="1:4" ht="15.75" customHeight="1">
      <c r="A5" s="245" t="s">
        <v>704</v>
      </c>
      <c r="B5" s="242" t="s">
        <v>7</v>
      </c>
      <c r="C5" s="243"/>
      <c r="D5" s="244"/>
    </row>
    <row r="6" spans="1:4" ht="15.75" customHeight="1">
      <c r="A6" s="245" t="s">
        <v>705</v>
      </c>
      <c r="B6" s="246" t="s">
        <v>8</v>
      </c>
      <c r="C6" s="247"/>
      <c r="D6" s="248"/>
    </row>
    <row r="7" spans="1:4" ht="15.75" customHeight="1" thickBot="1">
      <c r="A7" s="643" t="s">
        <v>706</v>
      </c>
      <c r="B7" s="251" t="s">
        <v>9</v>
      </c>
      <c r="C7" s="252"/>
      <c r="D7" s="253"/>
    </row>
    <row r="8" spans="1:4" ht="15.75" customHeight="1" thickBot="1">
      <c r="A8" s="635" t="s">
        <v>707</v>
      </c>
      <c r="B8" s="636" t="s">
        <v>10</v>
      </c>
      <c r="C8" s="637"/>
      <c r="D8" s="638">
        <f>+D5+D6+D7</f>
        <v>0</v>
      </c>
    </row>
    <row r="9" spans="1:4" ht="15.75" customHeight="1">
      <c r="A9" s="241" t="s">
        <v>708</v>
      </c>
      <c r="B9" s="242" t="s">
        <v>11</v>
      </c>
      <c r="C9" s="243"/>
      <c r="D9" s="244"/>
    </row>
    <row r="10" spans="1:4" ht="15.75" customHeight="1">
      <c r="A10" s="245" t="s">
        <v>709</v>
      </c>
      <c r="B10" s="246" t="s">
        <v>12</v>
      </c>
      <c r="C10" s="247"/>
      <c r="D10" s="248"/>
    </row>
    <row r="11" spans="1:4" ht="15.75" customHeight="1">
      <c r="A11" s="245" t="s">
        <v>710</v>
      </c>
      <c r="B11" s="246" t="s">
        <v>13</v>
      </c>
      <c r="C11" s="247"/>
      <c r="D11" s="248"/>
    </row>
    <row r="12" spans="1:4" ht="15.75" customHeight="1">
      <c r="A12" s="245" t="s">
        <v>711</v>
      </c>
      <c r="B12" s="246" t="s">
        <v>14</v>
      </c>
      <c r="C12" s="247"/>
      <c r="D12" s="248"/>
    </row>
    <row r="13" spans="1:4" ht="15.75" customHeight="1" thickBot="1">
      <c r="A13" s="643" t="s">
        <v>712</v>
      </c>
      <c r="B13" s="251" t="s">
        <v>15</v>
      </c>
      <c r="C13" s="252"/>
      <c r="D13" s="253"/>
    </row>
    <row r="14" spans="1:4" ht="15.75" customHeight="1" thickBot="1">
      <c r="A14" s="635" t="s">
        <v>713</v>
      </c>
      <c r="B14" s="636" t="s">
        <v>16</v>
      </c>
      <c r="C14" s="644"/>
      <c r="D14" s="638">
        <f>+D9+D10+D11+D12+D13</f>
        <v>0</v>
      </c>
    </row>
    <row r="15" spans="1:4" ht="15.75" customHeight="1">
      <c r="A15" s="241"/>
      <c r="B15" s="242" t="s">
        <v>17</v>
      </c>
      <c r="C15" s="243"/>
      <c r="D15" s="244"/>
    </row>
    <row r="16" spans="1:4" ht="15.75" customHeight="1">
      <c r="A16" s="245"/>
      <c r="B16" s="246" t="s">
        <v>18</v>
      </c>
      <c r="C16" s="247"/>
      <c r="D16" s="248"/>
    </row>
    <row r="17" spans="1:4" ht="15.75" customHeight="1">
      <c r="A17" s="245"/>
      <c r="B17" s="246" t="s">
        <v>19</v>
      </c>
      <c r="C17" s="247"/>
      <c r="D17" s="248"/>
    </row>
    <row r="18" spans="1:4" ht="15.75" customHeight="1">
      <c r="A18" s="245"/>
      <c r="B18" s="246" t="s">
        <v>20</v>
      </c>
      <c r="C18" s="247"/>
      <c r="D18" s="248"/>
    </row>
    <row r="19" spans="1:4" ht="15.75" customHeight="1">
      <c r="A19" s="245"/>
      <c r="B19" s="246" t="s">
        <v>21</v>
      </c>
      <c r="C19" s="247"/>
      <c r="D19" s="248"/>
    </row>
    <row r="20" spans="1:4" ht="15.75" customHeight="1">
      <c r="A20" s="245"/>
      <c r="B20" s="246" t="s">
        <v>22</v>
      </c>
      <c r="C20" s="247"/>
      <c r="D20" s="248"/>
    </row>
    <row r="21" spans="1:4" ht="15.75" customHeight="1">
      <c r="A21" s="245"/>
      <c r="B21" s="246" t="s">
        <v>23</v>
      </c>
      <c r="C21" s="247"/>
      <c r="D21" s="248"/>
    </row>
    <row r="22" spans="1:4" ht="15.75" customHeight="1">
      <c r="A22" s="245"/>
      <c r="B22" s="246" t="s">
        <v>24</v>
      </c>
      <c r="C22" s="247"/>
      <c r="D22" s="248"/>
    </row>
    <row r="23" spans="1:4" ht="15.75" customHeight="1">
      <c r="A23" s="245"/>
      <c r="B23" s="246" t="s">
        <v>25</v>
      </c>
      <c r="C23" s="247"/>
      <c r="D23" s="248"/>
    </row>
    <row r="24" spans="1:4" ht="15.75" customHeight="1">
      <c r="A24" s="245"/>
      <c r="B24" s="246" t="s">
        <v>26</v>
      </c>
      <c r="C24" s="247"/>
      <c r="D24" s="248"/>
    </row>
    <row r="25" spans="1:4" ht="15.75" customHeight="1">
      <c r="A25" s="245"/>
      <c r="B25" s="246" t="s">
        <v>27</v>
      </c>
      <c r="C25" s="247"/>
      <c r="D25" s="248"/>
    </row>
    <row r="26" spans="1:4" ht="15.75" customHeight="1">
      <c r="A26" s="245"/>
      <c r="B26" s="246" t="s">
        <v>28</v>
      </c>
      <c r="C26" s="247"/>
      <c r="D26" s="248"/>
    </row>
    <row r="27" spans="1:4" ht="15.75" customHeight="1">
      <c r="A27" s="245"/>
      <c r="B27" s="246" t="s">
        <v>29</v>
      </c>
      <c r="C27" s="247"/>
      <c r="D27" s="248"/>
    </row>
    <row r="28" spans="1:4" ht="15.75" customHeight="1">
      <c r="A28" s="245"/>
      <c r="B28" s="246" t="s">
        <v>30</v>
      </c>
      <c r="C28" s="247"/>
      <c r="D28" s="248"/>
    </row>
    <row r="29" spans="1:4" ht="15.75" customHeight="1">
      <c r="A29" s="245"/>
      <c r="B29" s="246" t="s">
        <v>31</v>
      </c>
      <c r="C29" s="247"/>
      <c r="D29" s="248"/>
    </row>
    <row r="30" spans="1:4" ht="15.75" customHeight="1">
      <c r="A30" s="245"/>
      <c r="B30" s="246" t="s">
        <v>32</v>
      </c>
      <c r="C30" s="247"/>
      <c r="D30" s="248"/>
    </row>
    <row r="31" spans="1:4" ht="15.75" customHeight="1">
      <c r="A31" s="245"/>
      <c r="B31" s="246" t="s">
        <v>33</v>
      </c>
      <c r="C31" s="247"/>
      <c r="D31" s="248"/>
    </row>
    <row r="32" spans="1:4" ht="15.75" customHeight="1">
      <c r="A32" s="245"/>
      <c r="B32" s="246" t="s">
        <v>34</v>
      </c>
      <c r="C32" s="247"/>
      <c r="D32" s="248"/>
    </row>
    <row r="33" spans="1:6" ht="15.75" customHeight="1">
      <c r="A33" s="245"/>
      <c r="B33" s="246" t="s">
        <v>35</v>
      </c>
      <c r="C33" s="247"/>
      <c r="D33" s="248"/>
    </row>
    <row r="34" spans="1:6" ht="15.75" customHeight="1">
      <c r="A34" s="245"/>
      <c r="B34" s="246" t="s">
        <v>91</v>
      </c>
      <c r="C34" s="247"/>
      <c r="D34" s="248"/>
    </row>
    <row r="35" spans="1:6" ht="15.75" customHeight="1">
      <c r="A35" s="245"/>
      <c r="B35" s="246" t="s">
        <v>187</v>
      </c>
      <c r="C35" s="247"/>
      <c r="D35" s="248"/>
    </row>
    <row r="36" spans="1:6" ht="15.75" customHeight="1">
      <c r="A36" s="245"/>
      <c r="B36" s="246" t="s">
        <v>241</v>
      </c>
      <c r="C36" s="247"/>
      <c r="D36" s="248"/>
    </row>
    <row r="37" spans="1:6" ht="15.75" customHeight="1" thickBot="1">
      <c r="A37" s="259"/>
      <c r="B37" s="260" t="s">
        <v>242</v>
      </c>
      <c r="C37" s="261"/>
      <c r="D37" s="262"/>
    </row>
    <row r="38" spans="1:6" ht="15.75" customHeight="1" thickBot="1">
      <c r="A38" s="921" t="s">
        <v>714</v>
      </c>
      <c r="B38" s="922"/>
      <c r="C38" s="254"/>
      <c r="D38" s="638">
        <f>+D8+D14+SUM(D15:D37)</f>
        <v>0</v>
      </c>
      <c r="F38" s="263"/>
    </row>
  </sheetData>
  <mergeCells count="2">
    <mergeCell ref="A1:D1"/>
    <mergeCell ref="A38:B38"/>
  </mergeCells>
  <phoneticPr fontId="27" type="noConversion"/>
  <printOptions horizontalCentered="1"/>
  <pageMargins left="0.78740157480314965" right="0.78740157480314965" top="1.1417322834645669" bottom="0.98425196850393704" header="0.78740157480314965" footer="0.78740157480314965"/>
  <pageSetup paperSize="9" scale="95" orientation="portrait" r:id="rId1"/>
  <headerFooter alignWithMargins="0">
    <oddHeader>&amp;L&amp;"Times New Roman,Félkövér dőlt"Ibrány Város Önkormányzata&amp;R&amp;"Times New Roman,Félkövér dőlt"14. számú melléklet a 15/2017. (V. 30.) önkormányzati rendelethez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C39"/>
  <sheetViews>
    <sheetView view="pageLayout" zoomScaleNormal="100" workbookViewId="0">
      <selection sqref="A1:C1"/>
    </sheetView>
  </sheetViews>
  <sheetFormatPr defaultRowHeight="12.75"/>
  <cols>
    <col min="1" max="1" width="88.6640625" style="8" customWidth="1"/>
    <col min="2" max="3" width="18.5" style="8" customWidth="1"/>
    <col min="4" max="256" width="9.33203125" style="8"/>
    <col min="257" max="257" width="88.6640625" style="8" customWidth="1"/>
    <col min="258" max="258" width="27.83203125" style="8" customWidth="1"/>
    <col min="259" max="259" width="3.5" style="8" customWidth="1"/>
    <col min="260" max="512" width="9.33203125" style="8"/>
    <col min="513" max="513" width="88.6640625" style="8" customWidth="1"/>
    <col min="514" max="514" width="27.83203125" style="8" customWidth="1"/>
    <col min="515" max="515" width="3.5" style="8" customWidth="1"/>
    <col min="516" max="768" width="9.33203125" style="8"/>
    <col min="769" max="769" width="88.6640625" style="8" customWidth="1"/>
    <col min="770" max="770" width="27.83203125" style="8" customWidth="1"/>
    <col min="771" max="771" width="3.5" style="8" customWidth="1"/>
    <col min="772" max="1024" width="9.33203125" style="8"/>
    <col min="1025" max="1025" width="88.6640625" style="8" customWidth="1"/>
    <col min="1026" max="1026" width="27.83203125" style="8" customWidth="1"/>
    <col min="1027" max="1027" width="3.5" style="8" customWidth="1"/>
    <col min="1028" max="1280" width="9.33203125" style="8"/>
    <col min="1281" max="1281" width="88.6640625" style="8" customWidth="1"/>
    <col min="1282" max="1282" width="27.83203125" style="8" customWidth="1"/>
    <col min="1283" max="1283" width="3.5" style="8" customWidth="1"/>
    <col min="1284" max="1536" width="9.33203125" style="8"/>
    <col min="1537" max="1537" width="88.6640625" style="8" customWidth="1"/>
    <col min="1538" max="1538" width="27.83203125" style="8" customWidth="1"/>
    <col min="1539" max="1539" width="3.5" style="8" customWidth="1"/>
    <col min="1540" max="1792" width="9.33203125" style="8"/>
    <col min="1793" max="1793" width="88.6640625" style="8" customWidth="1"/>
    <col min="1794" max="1794" width="27.83203125" style="8" customWidth="1"/>
    <col min="1795" max="1795" width="3.5" style="8" customWidth="1"/>
    <col min="1796" max="2048" width="9.33203125" style="8"/>
    <col min="2049" max="2049" width="88.6640625" style="8" customWidth="1"/>
    <col min="2050" max="2050" width="27.83203125" style="8" customWidth="1"/>
    <col min="2051" max="2051" width="3.5" style="8" customWidth="1"/>
    <col min="2052" max="2304" width="9.33203125" style="8"/>
    <col min="2305" max="2305" width="88.6640625" style="8" customWidth="1"/>
    <col min="2306" max="2306" width="27.83203125" style="8" customWidth="1"/>
    <col min="2307" max="2307" width="3.5" style="8" customWidth="1"/>
    <col min="2308" max="2560" width="9.33203125" style="8"/>
    <col min="2561" max="2561" width="88.6640625" style="8" customWidth="1"/>
    <col min="2562" max="2562" width="27.83203125" style="8" customWidth="1"/>
    <col min="2563" max="2563" width="3.5" style="8" customWidth="1"/>
    <col min="2564" max="2816" width="9.33203125" style="8"/>
    <col min="2817" max="2817" width="88.6640625" style="8" customWidth="1"/>
    <col min="2818" max="2818" width="27.83203125" style="8" customWidth="1"/>
    <col min="2819" max="2819" width="3.5" style="8" customWidth="1"/>
    <col min="2820" max="3072" width="9.33203125" style="8"/>
    <col min="3073" max="3073" width="88.6640625" style="8" customWidth="1"/>
    <col min="3074" max="3074" width="27.83203125" style="8" customWidth="1"/>
    <col min="3075" max="3075" width="3.5" style="8" customWidth="1"/>
    <col min="3076" max="3328" width="9.33203125" style="8"/>
    <col min="3329" max="3329" width="88.6640625" style="8" customWidth="1"/>
    <col min="3330" max="3330" width="27.83203125" style="8" customWidth="1"/>
    <col min="3331" max="3331" width="3.5" style="8" customWidth="1"/>
    <col min="3332" max="3584" width="9.33203125" style="8"/>
    <col min="3585" max="3585" width="88.6640625" style="8" customWidth="1"/>
    <col min="3586" max="3586" width="27.83203125" style="8" customWidth="1"/>
    <col min="3587" max="3587" width="3.5" style="8" customWidth="1"/>
    <col min="3588" max="3840" width="9.33203125" style="8"/>
    <col min="3841" max="3841" width="88.6640625" style="8" customWidth="1"/>
    <col min="3842" max="3842" width="27.83203125" style="8" customWidth="1"/>
    <col min="3843" max="3843" width="3.5" style="8" customWidth="1"/>
    <col min="3844" max="4096" width="9.33203125" style="8"/>
    <col min="4097" max="4097" width="88.6640625" style="8" customWidth="1"/>
    <col min="4098" max="4098" width="27.83203125" style="8" customWidth="1"/>
    <col min="4099" max="4099" width="3.5" style="8" customWidth="1"/>
    <col min="4100" max="4352" width="9.33203125" style="8"/>
    <col min="4353" max="4353" width="88.6640625" style="8" customWidth="1"/>
    <col min="4354" max="4354" width="27.83203125" style="8" customWidth="1"/>
    <col min="4355" max="4355" width="3.5" style="8" customWidth="1"/>
    <col min="4356" max="4608" width="9.33203125" style="8"/>
    <col min="4609" max="4609" width="88.6640625" style="8" customWidth="1"/>
    <col min="4610" max="4610" width="27.83203125" style="8" customWidth="1"/>
    <col min="4611" max="4611" width="3.5" style="8" customWidth="1"/>
    <col min="4612" max="4864" width="9.33203125" style="8"/>
    <col min="4865" max="4865" width="88.6640625" style="8" customWidth="1"/>
    <col min="4866" max="4866" width="27.83203125" style="8" customWidth="1"/>
    <col min="4867" max="4867" width="3.5" style="8" customWidth="1"/>
    <col min="4868" max="5120" width="9.33203125" style="8"/>
    <col min="5121" max="5121" width="88.6640625" style="8" customWidth="1"/>
    <col min="5122" max="5122" width="27.83203125" style="8" customWidth="1"/>
    <col min="5123" max="5123" width="3.5" style="8" customWidth="1"/>
    <col min="5124" max="5376" width="9.33203125" style="8"/>
    <col min="5377" max="5377" width="88.6640625" style="8" customWidth="1"/>
    <col min="5378" max="5378" width="27.83203125" style="8" customWidth="1"/>
    <col min="5379" max="5379" width="3.5" style="8" customWidth="1"/>
    <col min="5380" max="5632" width="9.33203125" style="8"/>
    <col min="5633" max="5633" width="88.6640625" style="8" customWidth="1"/>
    <col min="5634" max="5634" width="27.83203125" style="8" customWidth="1"/>
    <col min="5635" max="5635" width="3.5" style="8" customWidth="1"/>
    <col min="5636" max="5888" width="9.33203125" style="8"/>
    <col min="5889" max="5889" width="88.6640625" style="8" customWidth="1"/>
    <col min="5890" max="5890" width="27.83203125" style="8" customWidth="1"/>
    <col min="5891" max="5891" width="3.5" style="8" customWidth="1"/>
    <col min="5892" max="6144" width="9.33203125" style="8"/>
    <col min="6145" max="6145" width="88.6640625" style="8" customWidth="1"/>
    <col min="6146" max="6146" width="27.83203125" style="8" customWidth="1"/>
    <col min="6147" max="6147" width="3.5" style="8" customWidth="1"/>
    <col min="6148" max="6400" width="9.33203125" style="8"/>
    <col min="6401" max="6401" width="88.6640625" style="8" customWidth="1"/>
    <col min="6402" max="6402" width="27.83203125" style="8" customWidth="1"/>
    <col min="6403" max="6403" width="3.5" style="8" customWidth="1"/>
    <col min="6404" max="6656" width="9.33203125" style="8"/>
    <col min="6657" max="6657" width="88.6640625" style="8" customWidth="1"/>
    <col min="6658" max="6658" width="27.83203125" style="8" customWidth="1"/>
    <col min="6659" max="6659" width="3.5" style="8" customWidth="1"/>
    <col min="6660" max="6912" width="9.33203125" style="8"/>
    <col min="6913" max="6913" width="88.6640625" style="8" customWidth="1"/>
    <col min="6914" max="6914" width="27.83203125" style="8" customWidth="1"/>
    <col min="6915" max="6915" width="3.5" style="8" customWidth="1"/>
    <col min="6916" max="7168" width="9.33203125" style="8"/>
    <col min="7169" max="7169" width="88.6640625" style="8" customWidth="1"/>
    <col min="7170" max="7170" width="27.83203125" style="8" customWidth="1"/>
    <col min="7171" max="7171" width="3.5" style="8" customWidth="1"/>
    <col min="7172" max="7424" width="9.33203125" style="8"/>
    <col min="7425" max="7425" width="88.6640625" style="8" customWidth="1"/>
    <col min="7426" max="7426" width="27.83203125" style="8" customWidth="1"/>
    <col min="7427" max="7427" width="3.5" style="8" customWidth="1"/>
    <col min="7428" max="7680" width="9.33203125" style="8"/>
    <col min="7681" max="7681" width="88.6640625" style="8" customWidth="1"/>
    <col min="7682" max="7682" width="27.83203125" style="8" customWidth="1"/>
    <col min="7683" max="7683" width="3.5" style="8" customWidth="1"/>
    <col min="7684" max="7936" width="9.33203125" style="8"/>
    <col min="7937" max="7937" width="88.6640625" style="8" customWidth="1"/>
    <col min="7938" max="7938" width="27.83203125" style="8" customWidth="1"/>
    <col min="7939" max="7939" width="3.5" style="8" customWidth="1"/>
    <col min="7940" max="8192" width="9.33203125" style="8"/>
    <col min="8193" max="8193" width="88.6640625" style="8" customWidth="1"/>
    <col min="8194" max="8194" width="27.83203125" style="8" customWidth="1"/>
    <col min="8195" max="8195" width="3.5" style="8" customWidth="1"/>
    <col min="8196" max="8448" width="9.33203125" style="8"/>
    <col min="8449" max="8449" width="88.6640625" style="8" customWidth="1"/>
    <col min="8450" max="8450" width="27.83203125" style="8" customWidth="1"/>
    <col min="8451" max="8451" width="3.5" style="8" customWidth="1"/>
    <col min="8452" max="8704" width="9.33203125" style="8"/>
    <col min="8705" max="8705" width="88.6640625" style="8" customWidth="1"/>
    <col min="8706" max="8706" width="27.83203125" style="8" customWidth="1"/>
    <col min="8707" max="8707" width="3.5" style="8" customWidth="1"/>
    <col min="8708" max="8960" width="9.33203125" style="8"/>
    <col min="8961" max="8961" width="88.6640625" style="8" customWidth="1"/>
    <col min="8962" max="8962" width="27.83203125" style="8" customWidth="1"/>
    <col min="8963" max="8963" width="3.5" style="8" customWidth="1"/>
    <col min="8964" max="9216" width="9.33203125" style="8"/>
    <col min="9217" max="9217" width="88.6640625" style="8" customWidth="1"/>
    <col min="9218" max="9218" width="27.83203125" style="8" customWidth="1"/>
    <col min="9219" max="9219" width="3.5" style="8" customWidth="1"/>
    <col min="9220" max="9472" width="9.33203125" style="8"/>
    <col min="9473" max="9473" width="88.6640625" style="8" customWidth="1"/>
    <col min="9474" max="9474" width="27.83203125" style="8" customWidth="1"/>
    <col min="9475" max="9475" width="3.5" style="8" customWidth="1"/>
    <col min="9476" max="9728" width="9.33203125" style="8"/>
    <col min="9729" max="9729" width="88.6640625" style="8" customWidth="1"/>
    <col min="9730" max="9730" width="27.83203125" style="8" customWidth="1"/>
    <col min="9731" max="9731" width="3.5" style="8" customWidth="1"/>
    <col min="9732" max="9984" width="9.33203125" style="8"/>
    <col min="9985" max="9985" width="88.6640625" style="8" customWidth="1"/>
    <col min="9986" max="9986" width="27.83203125" style="8" customWidth="1"/>
    <col min="9987" max="9987" width="3.5" style="8" customWidth="1"/>
    <col min="9988" max="10240" width="9.33203125" style="8"/>
    <col min="10241" max="10241" width="88.6640625" style="8" customWidth="1"/>
    <col min="10242" max="10242" width="27.83203125" style="8" customWidth="1"/>
    <col min="10243" max="10243" width="3.5" style="8" customWidth="1"/>
    <col min="10244" max="10496" width="9.33203125" style="8"/>
    <col min="10497" max="10497" width="88.6640625" style="8" customWidth="1"/>
    <col min="10498" max="10498" width="27.83203125" style="8" customWidth="1"/>
    <col min="10499" max="10499" width="3.5" style="8" customWidth="1"/>
    <col min="10500" max="10752" width="9.33203125" style="8"/>
    <col min="10753" max="10753" width="88.6640625" style="8" customWidth="1"/>
    <col min="10754" max="10754" width="27.83203125" style="8" customWidth="1"/>
    <col min="10755" max="10755" width="3.5" style="8" customWidth="1"/>
    <col min="10756" max="11008" width="9.33203125" style="8"/>
    <col min="11009" max="11009" width="88.6640625" style="8" customWidth="1"/>
    <col min="11010" max="11010" width="27.83203125" style="8" customWidth="1"/>
    <col min="11011" max="11011" width="3.5" style="8" customWidth="1"/>
    <col min="11012" max="11264" width="9.33203125" style="8"/>
    <col min="11265" max="11265" width="88.6640625" style="8" customWidth="1"/>
    <col min="11266" max="11266" width="27.83203125" style="8" customWidth="1"/>
    <col min="11267" max="11267" width="3.5" style="8" customWidth="1"/>
    <col min="11268" max="11520" width="9.33203125" style="8"/>
    <col min="11521" max="11521" width="88.6640625" style="8" customWidth="1"/>
    <col min="11522" max="11522" width="27.83203125" style="8" customWidth="1"/>
    <col min="11523" max="11523" width="3.5" style="8" customWidth="1"/>
    <col min="11524" max="11776" width="9.33203125" style="8"/>
    <col min="11777" max="11777" width="88.6640625" style="8" customWidth="1"/>
    <col min="11778" max="11778" width="27.83203125" style="8" customWidth="1"/>
    <col min="11779" max="11779" width="3.5" style="8" customWidth="1"/>
    <col min="11780" max="12032" width="9.33203125" style="8"/>
    <col min="12033" max="12033" width="88.6640625" style="8" customWidth="1"/>
    <col min="12034" max="12034" width="27.83203125" style="8" customWidth="1"/>
    <col min="12035" max="12035" width="3.5" style="8" customWidth="1"/>
    <col min="12036" max="12288" width="9.33203125" style="8"/>
    <col min="12289" max="12289" width="88.6640625" style="8" customWidth="1"/>
    <col min="12290" max="12290" width="27.83203125" style="8" customWidth="1"/>
    <col min="12291" max="12291" width="3.5" style="8" customWidth="1"/>
    <col min="12292" max="12544" width="9.33203125" style="8"/>
    <col min="12545" max="12545" width="88.6640625" style="8" customWidth="1"/>
    <col min="12546" max="12546" width="27.83203125" style="8" customWidth="1"/>
    <col min="12547" max="12547" width="3.5" style="8" customWidth="1"/>
    <col min="12548" max="12800" width="9.33203125" style="8"/>
    <col min="12801" max="12801" width="88.6640625" style="8" customWidth="1"/>
    <col min="12802" max="12802" width="27.83203125" style="8" customWidth="1"/>
    <col min="12803" max="12803" width="3.5" style="8" customWidth="1"/>
    <col min="12804" max="13056" width="9.33203125" style="8"/>
    <col min="13057" max="13057" width="88.6640625" style="8" customWidth="1"/>
    <col min="13058" max="13058" width="27.83203125" style="8" customWidth="1"/>
    <col min="13059" max="13059" width="3.5" style="8" customWidth="1"/>
    <col min="13060" max="13312" width="9.33203125" style="8"/>
    <col min="13313" max="13313" width="88.6640625" style="8" customWidth="1"/>
    <col min="13314" max="13314" width="27.83203125" style="8" customWidth="1"/>
    <col min="13315" max="13315" width="3.5" style="8" customWidth="1"/>
    <col min="13316" max="13568" width="9.33203125" style="8"/>
    <col min="13569" max="13569" width="88.6640625" style="8" customWidth="1"/>
    <col min="13570" max="13570" width="27.83203125" style="8" customWidth="1"/>
    <col min="13571" max="13571" width="3.5" style="8" customWidth="1"/>
    <col min="13572" max="13824" width="9.33203125" style="8"/>
    <col min="13825" max="13825" width="88.6640625" style="8" customWidth="1"/>
    <col min="13826" max="13826" width="27.83203125" style="8" customWidth="1"/>
    <col min="13827" max="13827" width="3.5" style="8" customWidth="1"/>
    <col min="13828" max="14080" width="9.33203125" style="8"/>
    <col min="14081" max="14081" width="88.6640625" style="8" customWidth="1"/>
    <col min="14082" max="14082" width="27.83203125" style="8" customWidth="1"/>
    <col min="14083" max="14083" width="3.5" style="8" customWidth="1"/>
    <col min="14084" max="14336" width="9.33203125" style="8"/>
    <col min="14337" max="14337" width="88.6640625" style="8" customWidth="1"/>
    <col min="14338" max="14338" width="27.83203125" style="8" customWidth="1"/>
    <col min="14339" max="14339" width="3.5" style="8" customWidth="1"/>
    <col min="14340" max="14592" width="9.33203125" style="8"/>
    <col min="14593" max="14593" width="88.6640625" style="8" customWidth="1"/>
    <col min="14594" max="14594" width="27.83203125" style="8" customWidth="1"/>
    <col min="14595" max="14595" width="3.5" style="8" customWidth="1"/>
    <col min="14596" max="14848" width="9.33203125" style="8"/>
    <col min="14849" max="14849" width="88.6640625" style="8" customWidth="1"/>
    <col min="14850" max="14850" width="27.83203125" style="8" customWidth="1"/>
    <col min="14851" max="14851" width="3.5" style="8" customWidth="1"/>
    <col min="14852" max="15104" width="9.33203125" style="8"/>
    <col min="15105" max="15105" width="88.6640625" style="8" customWidth="1"/>
    <col min="15106" max="15106" width="27.83203125" style="8" customWidth="1"/>
    <col min="15107" max="15107" width="3.5" style="8" customWidth="1"/>
    <col min="15108" max="15360" width="9.33203125" style="8"/>
    <col min="15361" max="15361" width="88.6640625" style="8" customWidth="1"/>
    <col min="15362" max="15362" width="27.83203125" style="8" customWidth="1"/>
    <col min="15363" max="15363" width="3.5" style="8" customWidth="1"/>
    <col min="15364" max="15616" width="9.33203125" style="8"/>
    <col min="15617" max="15617" width="88.6640625" style="8" customWidth="1"/>
    <col min="15618" max="15618" width="27.83203125" style="8" customWidth="1"/>
    <col min="15619" max="15619" width="3.5" style="8" customWidth="1"/>
    <col min="15620" max="15872" width="9.33203125" style="8"/>
    <col min="15873" max="15873" width="88.6640625" style="8" customWidth="1"/>
    <col min="15874" max="15874" width="27.83203125" style="8" customWidth="1"/>
    <col min="15875" max="15875" width="3.5" style="8" customWidth="1"/>
    <col min="15876" max="16128" width="9.33203125" style="8"/>
    <col min="16129" max="16129" width="88.6640625" style="8" customWidth="1"/>
    <col min="16130" max="16130" width="27.83203125" style="8" customWidth="1"/>
    <col min="16131" max="16131" width="3.5" style="8" customWidth="1"/>
    <col min="16132" max="16384" width="9.33203125" style="8"/>
  </cols>
  <sheetData>
    <row r="1" spans="1:3" ht="47.25" customHeight="1">
      <c r="A1" s="923" t="str">
        <f>+CONCATENATE("A ",LEFT([3]ÖSSZEFÜGGÉSEK!A5,4),". évi általános működés és ágazati feladatok támogatásának alakulása jogcímenként")</f>
        <v>A 2016. évi általános működés és ágazati feladatok támogatásának alakulása jogcímenként</v>
      </c>
      <c r="B1" s="923"/>
      <c r="C1" s="923"/>
    </row>
    <row r="2" spans="1:3" ht="22.5" customHeight="1" thickBot="1">
      <c r="A2" s="729"/>
      <c r="B2" s="730" t="s">
        <v>798</v>
      </c>
    </row>
    <row r="3" spans="1:3" s="9" customFormat="1" ht="24" customHeight="1" thickBot="1">
      <c r="A3" s="731" t="s">
        <v>799</v>
      </c>
      <c r="B3" s="747" t="str">
        <f>+CONCATENATE(LEFT([3]ÖSSZEFÜGGÉSEK!A5,4),". évi támogatás terv")</f>
        <v>2016. évi támogatás terv</v>
      </c>
      <c r="C3" s="788" t="s">
        <v>830</v>
      </c>
    </row>
    <row r="4" spans="1:3" s="734" customFormat="1" ht="13.5" thickBot="1">
      <c r="A4" s="732" t="s">
        <v>409</v>
      </c>
      <c r="B4" s="733" t="s">
        <v>410</v>
      </c>
      <c r="C4" s="789" t="s">
        <v>411</v>
      </c>
    </row>
    <row r="5" spans="1:3">
      <c r="A5" s="735" t="s">
        <v>800</v>
      </c>
      <c r="B5" s="736">
        <v>109187200</v>
      </c>
      <c r="C5" s="790">
        <v>109187200</v>
      </c>
    </row>
    <row r="6" spans="1:3" ht="12.75" customHeight="1">
      <c r="A6" s="737" t="s">
        <v>801</v>
      </c>
      <c r="B6" s="736">
        <f>SUM(B7:B10)</f>
        <v>39137149</v>
      </c>
      <c r="C6" s="790">
        <f>SUM(C7:C10)</f>
        <v>39137149</v>
      </c>
    </row>
    <row r="7" spans="1:3">
      <c r="A7" s="737" t="s">
        <v>802</v>
      </c>
      <c r="B7" s="738">
        <v>14160500</v>
      </c>
      <c r="C7" s="791">
        <v>14160500</v>
      </c>
    </row>
    <row r="8" spans="1:3">
      <c r="A8" s="737" t="s">
        <v>803</v>
      </c>
      <c r="B8" s="738">
        <v>13856000</v>
      </c>
      <c r="C8" s="791">
        <v>13856000</v>
      </c>
    </row>
    <row r="9" spans="1:3">
      <c r="A9" s="737" t="s">
        <v>804</v>
      </c>
      <c r="B9" s="738">
        <v>2076969</v>
      </c>
      <c r="C9" s="791">
        <v>2076969</v>
      </c>
    </row>
    <row r="10" spans="1:3">
      <c r="A10" s="737" t="s">
        <v>805</v>
      </c>
      <c r="B10" s="738">
        <v>9043680</v>
      </c>
      <c r="C10" s="791">
        <v>9043680</v>
      </c>
    </row>
    <row r="11" spans="1:3">
      <c r="A11" s="737" t="s">
        <v>806</v>
      </c>
      <c r="B11" s="736">
        <v>16595323</v>
      </c>
      <c r="C11" s="790">
        <v>18986400</v>
      </c>
    </row>
    <row r="12" spans="1:3">
      <c r="A12" s="737" t="s">
        <v>807</v>
      </c>
      <c r="B12" s="736">
        <v>12750</v>
      </c>
      <c r="C12" s="790">
        <v>12750</v>
      </c>
    </row>
    <row r="13" spans="1:3">
      <c r="A13" s="737" t="s">
        <v>831</v>
      </c>
      <c r="B13" s="736"/>
      <c r="C13" s="790">
        <v>25098525</v>
      </c>
    </row>
    <row r="14" spans="1:3">
      <c r="A14" s="737" t="s">
        <v>808</v>
      </c>
      <c r="B14" s="736">
        <v>504698</v>
      </c>
      <c r="C14" s="790">
        <v>504698</v>
      </c>
    </row>
    <row r="15" spans="1:3">
      <c r="A15" s="739" t="s">
        <v>809</v>
      </c>
      <c r="B15" s="740">
        <f>B5+B6+B11+B14+B12</f>
        <v>165437120</v>
      </c>
      <c r="C15" s="792">
        <f>C5+C6+C11+C14+C12+C13</f>
        <v>192926722</v>
      </c>
    </row>
    <row r="16" spans="1:3">
      <c r="A16" s="737"/>
      <c r="B16" s="736"/>
      <c r="C16" s="790"/>
    </row>
    <row r="17" spans="1:3">
      <c r="A17" s="737" t="s">
        <v>810</v>
      </c>
      <c r="B17" s="741">
        <f>SUM(B18:B22)</f>
        <v>82479300</v>
      </c>
      <c r="C17" s="793">
        <f>SUM(C18:C22)</f>
        <v>83509000</v>
      </c>
    </row>
    <row r="18" spans="1:3">
      <c r="A18" s="737" t="s">
        <v>811</v>
      </c>
      <c r="B18" s="738">
        <v>41644000</v>
      </c>
      <c r="C18" s="791">
        <v>41644000</v>
      </c>
    </row>
    <row r="19" spans="1:3">
      <c r="A19" s="737" t="s">
        <v>812</v>
      </c>
      <c r="B19" s="738">
        <v>13200000</v>
      </c>
      <c r="C19" s="791">
        <v>13200000</v>
      </c>
    </row>
    <row r="20" spans="1:3">
      <c r="A20" s="737" t="s">
        <v>813</v>
      </c>
      <c r="B20" s="738">
        <v>20534800</v>
      </c>
      <c r="C20" s="791">
        <v>21540000</v>
      </c>
    </row>
    <row r="21" spans="1:3">
      <c r="A21" s="737" t="s">
        <v>814</v>
      </c>
      <c r="B21" s="738">
        <v>6600000</v>
      </c>
      <c r="C21" s="791">
        <v>6600000</v>
      </c>
    </row>
    <row r="22" spans="1:3">
      <c r="A22" s="737" t="s">
        <v>815</v>
      </c>
      <c r="B22" s="738">
        <v>500500</v>
      </c>
      <c r="C22" s="791">
        <v>525000</v>
      </c>
    </row>
    <row r="23" spans="1:3">
      <c r="A23" s="737" t="s">
        <v>816</v>
      </c>
      <c r="B23" s="741">
        <f>SUM(B24:B25)</f>
        <v>13226666</v>
      </c>
      <c r="C23" s="793">
        <f>SUM(C24:C25)</f>
        <v>13440000</v>
      </c>
    </row>
    <row r="24" spans="1:3">
      <c r="A24" s="737" t="s">
        <v>817</v>
      </c>
      <c r="B24" s="736">
        <v>8853333</v>
      </c>
      <c r="C24" s="790">
        <v>8853333</v>
      </c>
    </row>
    <row r="25" spans="1:3">
      <c r="A25" s="737" t="s">
        <v>818</v>
      </c>
      <c r="B25" s="736">
        <v>4373333</v>
      </c>
      <c r="C25" s="790">
        <v>4586667</v>
      </c>
    </row>
    <row r="26" spans="1:3">
      <c r="A26" s="737" t="s">
        <v>819</v>
      </c>
      <c r="B26" s="741">
        <v>13187500</v>
      </c>
      <c r="C26" s="793">
        <v>13187500</v>
      </c>
    </row>
    <row r="27" spans="1:3" ht="22.5">
      <c r="A27" s="737" t="s">
        <v>820</v>
      </c>
      <c r="B27" s="741">
        <v>384000</v>
      </c>
      <c r="C27" s="793">
        <v>384000</v>
      </c>
    </row>
    <row r="28" spans="1:3">
      <c r="A28" s="739" t="s">
        <v>821</v>
      </c>
      <c r="B28" s="740">
        <f>B17+B23+B26+B27</f>
        <v>109277466</v>
      </c>
      <c r="C28" s="792">
        <f>C17+C23+C26+C27</f>
        <v>110520500</v>
      </c>
    </row>
    <row r="29" spans="1:3">
      <c r="A29" s="739"/>
      <c r="B29" s="736"/>
      <c r="C29" s="790"/>
    </row>
    <row r="30" spans="1:3">
      <c r="A30" s="737" t="s">
        <v>822</v>
      </c>
      <c r="B30" s="736">
        <v>66489528</v>
      </c>
      <c r="C30" s="790">
        <v>66489528</v>
      </c>
    </row>
    <row r="31" spans="1:3">
      <c r="A31" s="737" t="s">
        <v>823</v>
      </c>
      <c r="B31" s="736">
        <v>12000000</v>
      </c>
      <c r="C31" s="790">
        <v>12000000</v>
      </c>
    </row>
    <row r="32" spans="1:3">
      <c r="A32" s="737" t="s">
        <v>824</v>
      </c>
      <c r="B32" s="736">
        <v>18000000</v>
      </c>
      <c r="C32" s="790">
        <v>18000000</v>
      </c>
    </row>
    <row r="33" spans="1:3">
      <c r="A33" s="737" t="s">
        <v>825</v>
      </c>
      <c r="B33" s="736">
        <v>24300480</v>
      </c>
      <c r="C33" s="790">
        <v>24839040</v>
      </c>
    </row>
    <row r="34" spans="1:3">
      <c r="A34" s="737" t="s">
        <v>826</v>
      </c>
      <c r="B34" s="736">
        <v>45983516</v>
      </c>
      <c r="C34" s="790">
        <v>45983516</v>
      </c>
    </row>
    <row r="35" spans="1:3">
      <c r="A35" s="742" t="s">
        <v>827</v>
      </c>
      <c r="B35" s="736">
        <v>9231720</v>
      </c>
      <c r="C35" s="790">
        <v>7307970</v>
      </c>
    </row>
    <row r="36" spans="1:3" ht="21">
      <c r="A36" s="743" t="s">
        <v>828</v>
      </c>
      <c r="B36" s="740">
        <f>SUM(B30:B35)</f>
        <v>176005244</v>
      </c>
      <c r="C36" s="792">
        <f>SUM(C30:C35)</f>
        <v>174620054</v>
      </c>
    </row>
    <row r="37" spans="1:3">
      <c r="A37" s="742"/>
      <c r="B37" s="736"/>
      <c r="C37" s="790"/>
    </row>
    <row r="38" spans="1:3" ht="21.75" thickBot="1">
      <c r="A38" s="743" t="s">
        <v>829</v>
      </c>
      <c r="B38" s="740">
        <v>8016480</v>
      </c>
      <c r="C38" s="792">
        <v>8395763</v>
      </c>
    </row>
    <row r="39" spans="1:3" s="746" customFormat="1" ht="19.5" customHeight="1" thickBot="1">
      <c r="A39" s="744" t="s">
        <v>40</v>
      </c>
      <c r="B39" s="745">
        <f>B15+B28+B36+B38</f>
        <v>458736310</v>
      </c>
      <c r="C39" s="794">
        <f>C15+C28+C36+C38</f>
        <v>486463039</v>
      </c>
    </row>
  </sheetData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r:id="rId1"/>
  <headerFooter alignWithMargins="0">
    <oddHeader>&amp;LIbrány Város Önkormányzata&amp;R15. számú melléklet a 15/2017. (V. 30.) önkormányzati rendelethez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I161"/>
  <sheetViews>
    <sheetView view="pageLayout" topLeftCell="A109" zoomScaleNormal="100" zoomScaleSheetLayoutView="100" workbookViewId="0">
      <selection activeCell="E150" sqref="E150"/>
    </sheetView>
  </sheetViews>
  <sheetFormatPr defaultRowHeight="15.75"/>
  <cols>
    <col min="1" max="1" width="9.5" style="381" customWidth="1"/>
    <col min="2" max="2" width="60.83203125" style="381" customWidth="1"/>
    <col min="3" max="5" width="15.83203125" style="382" customWidth="1"/>
    <col min="6" max="16384" width="9.33203125" style="392"/>
  </cols>
  <sheetData>
    <row r="1" spans="1:5" ht="15.95" customHeight="1">
      <c r="A1" s="823" t="s">
        <v>4</v>
      </c>
      <c r="B1" s="823"/>
      <c r="C1" s="823"/>
      <c r="D1" s="823"/>
      <c r="E1" s="823"/>
    </row>
    <row r="2" spans="1:5" ht="15.95" customHeight="1" thickBot="1">
      <c r="A2" s="45" t="s">
        <v>111</v>
      </c>
      <c r="B2" s="45"/>
      <c r="C2" s="379"/>
      <c r="D2" s="379"/>
      <c r="E2" s="379" t="s">
        <v>752</v>
      </c>
    </row>
    <row r="3" spans="1:5" ht="15.95" customHeight="1">
      <c r="A3" s="824" t="s">
        <v>59</v>
      </c>
      <c r="B3" s="826" t="s">
        <v>6</v>
      </c>
      <c r="C3" s="828" t="str">
        <f>+'1.1.sz.mell.'!C3:E3</f>
        <v>2016. évi</v>
      </c>
      <c r="D3" s="828"/>
      <c r="E3" s="829"/>
    </row>
    <row r="4" spans="1:5" ht="38.1" customHeight="1" thickBot="1">
      <c r="A4" s="825"/>
      <c r="B4" s="827"/>
      <c r="C4" s="47" t="s">
        <v>178</v>
      </c>
      <c r="D4" s="47" t="s">
        <v>183</v>
      </c>
      <c r="E4" s="48" t="s">
        <v>184</v>
      </c>
    </row>
    <row r="5" spans="1:5" s="393" customFormat="1" ht="12" customHeight="1" thickBot="1">
      <c r="A5" s="357" t="s">
        <v>409</v>
      </c>
      <c r="B5" s="358" t="s">
        <v>410</v>
      </c>
      <c r="C5" s="358" t="s">
        <v>411</v>
      </c>
      <c r="D5" s="358" t="s">
        <v>412</v>
      </c>
      <c r="E5" s="404" t="s">
        <v>413</v>
      </c>
    </row>
    <row r="6" spans="1:5" s="394" customFormat="1" ht="12" customHeight="1" thickBot="1">
      <c r="A6" s="352" t="s">
        <v>7</v>
      </c>
      <c r="B6" s="353" t="s">
        <v>301</v>
      </c>
      <c r="C6" s="384">
        <f>SUM(C7:C12)</f>
        <v>0</v>
      </c>
      <c r="D6" s="384">
        <f>SUM(D7:D12)</f>
        <v>0</v>
      </c>
      <c r="E6" s="367">
        <f>SUM(E7:E12)</f>
        <v>0</v>
      </c>
    </row>
    <row r="7" spans="1:5" s="394" customFormat="1" ht="12" customHeight="1">
      <c r="A7" s="347" t="s">
        <v>71</v>
      </c>
      <c r="B7" s="395" t="s">
        <v>302</v>
      </c>
      <c r="C7" s="386"/>
      <c r="D7" s="386"/>
      <c r="E7" s="369"/>
    </row>
    <row r="8" spans="1:5" s="394" customFormat="1" ht="12" customHeight="1">
      <c r="A8" s="346" t="s">
        <v>72</v>
      </c>
      <c r="B8" s="396" t="s">
        <v>303</v>
      </c>
      <c r="C8" s="385"/>
      <c r="D8" s="385"/>
      <c r="E8" s="368"/>
    </row>
    <row r="9" spans="1:5" s="394" customFormat="1" ht="12" customHeight="1">
      <c r="A9" s="346" t="s">
        <v>73</v>
      </c>
      <c r="B9" s="396" t="s">
        <v>304</v>
      </c>
      <c r="C9" s="385"/>
      <c r="D9" s="385"/>
      <c r="E9" s="368"/>
    </row>
    <row r="10" spans="1:5" s="394" customFormat="1" ht="12" customHeight="1">
      <c r="A10" s="346" t="s">
        <v>74</v>
      </c>
      <c r="B10" s="396" t="s">
        <v>305</v>
      </c>
      <c r="C10" s="385"/>
      <c r="D10" s="385"/>
      <c r="E10" s="368"/>
    </row>
    <row r="11" spans="1:5" s="394" customFormat="1" ht="12" customHeight="1">
      <c r="A11" s="346" t="s">
        <v>107</v>
      </c>
      <c r="B11" s="396" t="s">
        <v>306</v>
      </c>
      <c r="C11" s="385"/>
      <c r="D11" s="385"/>
      <c r="E11" s="368"/>
    </row>
    <row r="12" spans="1:5" s="394" customFormat="1" ht="12" customHeight="1" thickBot="1">
      <c r="A12" s="348" t="s">
        <v>75</v>
      </c>
      <c r="B12" s="397" t="s">
        <v>307</v>
      </c>
      <c r="C12" s="387"/>
      <c r="D12" s="387"/>
      <c r="E12" s="370"/>
    </row>
    <row r="13" spans="1:5" s="394" customFormat="1" ht="12" customHeight="1" thickBot="1">
      <c r="A13" s="352" t="s">
        <v>8</v>
      </c>
      <c r="B13" s="374" t="s">
        <v>308</v>
      </c>
      <c r="C13" s="384">
        <f>SUM(C14:C18)</f>
        <v>0</v>
      </c>
      <c r="D13" s="384">
        <f>SUM(D14:D18)</f>
        <v>0</v>
      </c>
      <c r="E13" s="367">
        <f>SUM(E14:E18)</f>
        <v>0</v>
      </c>
    </row>
    <row r="14" spans="1:5" s="394" customFormat="1" ht="12" customHeight="1">
      <c r="A14" s="347" t="s">
        <v>77</v>
      </c>
      <c r="B14" s="395" t="s">
        <v>309</v>
      </c>
      <c r="C14" s="386"/>
      <c r="D14" s="386"/>
      <c r="E14" s="369"/>
    </row>
    <row r="15" spans="1:5" s="394" customFormat="1" ht="12" customHeight="1">
      <c r="A15" s="346" t="s">
        <v>78</v>
      </c>
      <c r="B15" s="396" t="s">
        <v>310</v>
      </c>
      <c r="C15" s="385"/>
      <c r="D15" s="385"/>
      <c r="E15" s="368"/>
    </row>
    <row r="16" spans="1:5" s="394" customFormat="1" ht="12" customHeight="1">
      <c r="A16" s="346" t="s">
        <v>79</v>
      </c>
      <c r="B16" s="396" t="s">
        <v>311</v>
      </c>
      <c r="C16" s="385"/>
      <c r="D16" s="385"/>
      <c r="E16" s="368"/>
    </row>
    <row r="17" spans="1:5" s="394" customFormat="1" ht="12" customHeight="1">
      <c r="A17" s="346" t="s">
        <v>80</v>
      </c>
      <c r="B17" s="396" t="s">
        <v>312</v>
      </c>
      <c r="C17" s="385"/>
      <c r="D17" s="385"/>
      <c r="E17" s="368"/>
    </row>
    <row r="18" spans="1:5" s="394" customFormat="1" ht="12" customHeight="1">
      <c r="A18" s="346" t="s">
        <v>81</v>
      </c>
      <c r="B18" s="396" t="s">
        <v>313</v>
      </c>
      <c r="C18" s="385"/>
      <c r="D18" s="385"/>
      <c r="E18" s="368"/>
    </row>
    <row r="19" spans="1:5" s="394" customFormat="1" ht="12" customHeight="1" thickBot="1">
      <c r="A19" s="348" t="s">
        <v>88</v>
      </c>
      <c r="B19" s="397" t="s">
        <v>314</v>
      </c>
      <c r="C19" s="387"/>
      <c r="D19" s="387"/>
      <c r="E19" s="370"/>
    </row>
    <row r="20" spans="1:5" s="394" customFormat="1" ht="12" customHeight="1" thickBot="1">
      <c r="A20" s="352" t="s">
        <v>9</v>
      </c>
      <c r="B20" s="353" t="s">
        <v>315</v>
      </c>
      <c r="C20" s="384">
        <f>SUM(C21:C25)</f>
        <v>0</v>
      </c>
      <c r="D20" s="384">
        <f>SUM(D21:D25)</f>
        <v>0</v>
      </c>
      <c r="E20" s="367">
        <f>SUM(E21:E25)</f>
        <v>0</v>
      </c>
    </row>
    <row r="21" spans="1:5" s="394" customFormat="1" ht="12" customHeight="1">
      <c r="A21" s="347" t="s">
        <v>60</v>
      </c>
      <c r="B21" s="395" t="s">
        <v>316</v>
      </c>
      <c r="C21" s="386"/>
      <c r="D21" s="386"/>
      <c r="E21" s="369"/>
    </row>
    <row r="22" spans="1:5" s="394" customFormat="1" ht="12" customHeight="1">
      <c r="A22" s="346" t="s">
        <v>61</v>
      </c>
      <c r="B22" s="396" t="s">
        <v>317</v>
      </c>
      <c r="C22" s="385"/>
      <c r="D22" s="385"/>
      <c r="E22" s="368"/>
    </row>
    <row r="23" spans="1:5" s="394" customFormat="1" ht="12" customHeight="1">
      <c r="A23" s="346" t="s">
        <v>62</v>
      </c>
      <c r="B23" s="396" t="s">
        <v>318</v>
      </c>
      <c r="C23" s="385"/>
      <c r="D23" s="385"/>
      <c r="E23" s="368"/>
    </row>
    <row r="24" spans="1:5" s="394" customFormat="1" ht="12" customHeight="1">
      <c r="A24" s="346" t="s">
        <v>63</v>
      </c>
      <c r="B24" s="396" t="s">
        <v>319</v>
      </c>
      <c r="C24" s="385"/>
      <c r="D24" s="385"/>
      <c r="E24" s="368"/>
    </row>
    <row r="25" spans="1:5" s="394" customFormat="1" ht="12" customHeight="1">
      <c r="A25" s="346" t="s">
        <v>121</v>
      </c>
      <c r="B25" s="396" t="s">
        <v>320</v>
      </c>
      <c r="C25" s="385"/>
      <c r="D25" s="385"/>
      <c r="E25" s="368"/>
    </row>
    <row r="26" spans="1:5" s="394" customFormat="1" ht="12" customHeight="1" thickBot="1">
      <c r="A26" s="348" t="s">
        <v>122</v>
      </c>
      <c r="B26" s="397" t="s">
        <v>321</v>
      </c>
      <c r="C26" s="387"/>
      <c r="D26" s="387"/>
      <c r="E26" s="370"/>
    </row>
    <row r="27" spans="1:5" s="394" customFormat="1" ht="12" customHeight="1" thickBot="1">
      <c r="A27" s="352" t="s">
        <v>123</v>
      </c>
      <c r="B27" s="353" t="s">
        <v>718</v>
      </c>
      <c r="C27" s="390">
        <f>SUM(C28:C33)</f>
        <v>12500000</v>
      </c>
      <c r="D27" s="390">
        <f>SUM(D28:D33)</f>
        <v>12500000</v>
      </c>
      <c r="E27" s="403">
        <f>SUM(E28:E33)</f>
        <v>7947459</v>
      </c>
    </row>
    <row r="28" spans="1:5" s="394" customFormat="1" ht="12" customHeight="1">
      <c r="A28" s="347" t="s">
        <v>322</v>
      </c>
      <c r="B28" s="395" t="s">
        <v>722</v>
      </c>
      <c r="C28" s="386"/>
      <c r="D28" s="386"/>
      <c r="E28" s="369"/>
    </row>
    <row r="29" spans="1:5" s="394" customFormat="1" ht="12" customHeight="1">
      <c r="A29" s="346" t="s">
        <v>323</v>
      </c>
      <c r="B29" s="396" t="s">
        <v>723</v>
      </c>
      <c r="C29" s="385"/>
      <c r="D29" s="385"/>
      <c r="E29" s="368"/>
    </row>
    <row r="30" spans="1:5" s="394" customFormat="1" ht="12" customHeight="1">
      <c r="A30" s="346" t="s">
        <v>324</v>
      </c>
      <c r="B30" s="396" t="s">
        <v>724</v>
      </c>
      <c r="C30" s="385">
        <v>12500000</v>
      </c>
      <c r="D30" s="385">
        <v>12500000</v>
      </c>
      <c r="E30" s="368">
        <f>+'6.3. sz. mell'!E32</f>
        <v>7947459</v>
      </c>
    </row>
    <row r="31" spans="1:5" s="394" customFormat="1" ht="12" customHeight="1">
      <c r="A31" s="346" t="s">
        <v>719</v>
      </c>
      <c r="B31" s="396" t="s">
        <v>725</v>
      </c>
      <c r="C31" s="385"/>
      <c r="D31" s="385"/>
      <c r="E31" s="368"/>
    </row>
    <row r="32" spans="1:5" s="394" customFormat="1" ht="12" customHeight="1">
      <c r="A32" s="346" t="s">
        <v>720</v>
      </c>
      <c r="B32" s="396" t="s">
        <v>325</v>
      </c>
      <c r="C32" s="385"/>
      <c r="D32" s="385"/>
      <c r="E32" s="368"/>
    </row>
    <row r="33" spans="1:5" s="394" customFormat="1" ht="12" customHeight="1" thickBot="1">
      <c r="A33" s="348" t="s">
        <v>721</v>
      </c>
      <c r="B33" s="376" t="s">
        <v>326</v>
      </c>
      <c r="C33" s="387"/>
      <c r="D33" s="387"/>
      <c r="E33" s="370"/>
    </row>
    <row r="34" spans="1:5" s="394" customFormat="1" ht="12" customHeight="1" thickBot="1">
      <c r="A34" s="352" t="s">
        <v>11</v>
      </c>
      <c r="B34" s="353" t="s">
        <v>327</v>
      </c>
      <c r="C34" s="384">
        <f>SUM(C35:C44)</f>
        <v>35645000</v>
      </c>
      <c r="D34" s="384">
        <f>SUM(D35:D44)</f>
        <v>43870000</v>
      </c>
      <c r="E34" s="367">
        <f>SUM(E35:E44)</f>
        <v>19981422</v>
      </c>
    </row>
    <row r="35" spans="1:5" s="394" customFormat="1" ht="12" customHeight="1">
      <c r="A35" s="347" t="s">
        <v>64</v>
      </c>
      <c r="B35" s="395" t="s">
        <v>328</v>
      </c>
      <c r="C35" s="386">
        <v>709000</v>
      </c>
      <c r="D35" s="386">
        <v>7233000</v>
      </c>
      <c r="E35" s="369">
        <f>+'6.3. sz. mell'!E37+'7.3. sz. mell'!E9+'8.1.2. sz. mell.'!E9+'8.2.2. sz. mell.'!E9+'8.3.2. sz. mell. '!E9</f>
        <v>7165451</v>
      </c>
    </row>
    <row r="36" spans="1:5" s="394" customFormat="1" ht="12" customHeight="1">
      <c r="A36" s="346" t="s">
        <v>65</v>
      </c>
      <c r="B36" s="396" t="s">
        <v>329</v>
      </c>
      <c r="C36" s="385">
        <v>27358000</v>
      </c>
      <c r="D36" s="385"/>
      <c r="E36" s="368"/>
    </row>
    <row r="37" spans="1:5" s="394" customFormat="1" ht="12" customHeight="1">
      <c r="A37" s="346" t="s">
        <v>66</v>
      </c>
      <c r="B37" s="396" t="s">
        <v>330</v>
      </c>
      <c r="C37" s="385"/>
      <c r="D37" s="385"/>
      <c r="E37" s="368"/>
    </row>
    <row r="38" spans="1:5" s="394" customFormat="1" ht="12" customHeight="1">
      <c r="A38" s="346" t="s">
        <v>125</v>
      </c>
      <c r="B38" s="396" t="s">
        <v>331</v>
      </c>
      <c r="C38" s="385"/>
      <c r="D38" s="385"/>
      <c r="E38" s="368"/>
    </row>
    <row r="39" spans="1:5" s="394" customFormat="1" ht="12" customHeight="1">
      <c r="A39" s="346" t="s">
        <v>126</v>
      </c>
      <c r="B39" s="396" t="s">
        <v>332</v>
      </c>
      <c r="C39" s="385"/>
      <c r="D39" s="385">
        <v>27358000</v>
      </c>
      <c r="E39" s="368">
        <v>8572601</v>
      </c>
    </row>
    <row r="40" spans="1:5" s="394" customFormat="1" ht="12" customHeight="1">
      <c r="A40" s="346" t="s">
        <v>127</v>
      </c>
      <c r="B40" s="396" t="s">
        <v>333</v>
      </c>
      <c r="C40" s="385">
        <v>7578000</v>
      </c>
      <c r="D40" s="385">
        <v>9279000</v>
      </c>
      <c r="E40" s="368">
        <v>4243370</v>
      </c>
    </row>
    <row r="41" spans="1:5" s="394" customFormat="1" ht="12" customHeight="1">
      <c r="A41" s="346" t="s">
        <v>128</v>
      </c>
      <c r="B41" s="396" t="s">
        <v>334</v>
      </c>
      <c r="C41" s="385"/>
      <c r="D41" s="385"/>
      <c r="E41" s="368"/>
    </row>
    <row r="42" spans="1:5" s="394" customFormat="1" ht="12" customHeight="1">
      <c r="A42" s="346" t="s">
        <v>129</v>
      </c>
      <c r="B42" s="396" t="s">
        <v>335</v>
      </c>
      <c r="C42" s="385"/>
      <c r="D42" s="385"/>
      <c r="E42" s="368"/>
    </row>
    <row r="43" spans="1:5" s="394" customFormat="1" ht="12" customHeight="1">
      <c r="A43" s="346" t="s">
        <v>336</v>
      </c>
      <c r="B43" s="396" t="s">
        <v>337</v>
      </c>
      <c r="C43" s="388"/>
      <c r="D43" s="388"/>
      <c r="E43" s="371"/>
    </row>
    <row r="44" spans="1:5" s="394" customFormat="1" ht="12" customHeight="1" thickBot="1">
      <c r="A44" s="348" t="s">
        <v>338</v>
      </c>
      <c r="B44" s="397" t="s">
        <v>339</v>
      </c>
      <c r="C44" s="389"/>
      <c r="D44" s="389"/>
      <c r="E44" s="372"/>
    </row>
    <row r="45" spans="1:5" s="394" customFormat="1" ht="12" customHeight="1" thickBot="1">
      <c r="A45" s="352" t="s">
        <v>12</v>
      </c>
      <c r="B45" s="353" t="s">
        <v>340</v>
      </c>
      <c r="C45" s="384">
        <f>SUM(C46:C50)</f>
        <v>0</v>
      </c>
      <c r="D45" s="384">
        <f>SUM(D46:D50)</f>
        <v>0</v>
      </c>
      <c r="E45" s="367">
        <f>SUM(E46:E50)</f>
        <v>0</v>
      </c>
    </row>
    <row r="46" spans="1:5" s="394" customFormat="1" ht="12" customHeight="1">
      <c r="A46" s="347" t="s">
        <v>67</v>
      </c>
      <c r="B46" s="395" t="s">
        <v>341</v>
      </c>
      <c r="C46" s="405"/>
      <c r="D46" s="405"/>
      <c r="E46" s="373"/>
    </row>
    <row r="47" spans="1:5" s="394" customFormat="1" ht="12" customHeight="1">
      <c r="A47" s="346" t="s">
        <v>68</v>
      </c>
      <c r="B47" s="396" t="s">
        <v>342</v>
      </c>
      <c r="C47" s="388"/>
      <c r="D47" s="388"/>
      <c r="E47" s="371"/>
    </row>
    <row r="48" spans="1:5" s="394" customFormat="1" ht="12" customHeight="1">
      <c r="A48" s="346" t="s">
        <v>343</v>
      </c>
      <c r="B48" s="396" t="s">
        <v>344</v>
      </c>
      <c r="C48" s="388"/>
      <c r="D48" s="388"/>
      <c r="E48" s="371"/>
    </row>
    <row r="49" spans="1:5" s="394" customFormat="1" ht="12" customHeight="1">
      <c r="A49" s="346" t="s">
        <v>345</v>
      </c>
      <c r="B49" s="396" t="s">
        <v>346</v>
      </c>
      <c r="C49" s="388"/>
      <c r="D49" s="388"/>
      <c r="E49" s="371"/>
    </row>
    <row r="50" spans="1:5" s="394" customFormat="1" ht="12" customHeight="1" thickBot="1">
      <c r="A50" s="348" t="s">
        <v>347</v>
      </c>
      <c r="B50" s="397" t="s">
        <v>348</v>
      </c>
      <c r="C50" s="389"/>
      <c r="D50" s="389"/>
      <c r="E50" s="372"/>
    </row>
    <row r="51" spans="1:5" s="394" customFormat="1" ht="17.25" customHeight="1" thickBot="1">
      <c r="A51" s="352" t="s">
        <v>130</v>
      </c>
      <c r="B51" s="353" t="s">
        <v>349</v>
      </c>
      <c r="C51" s="384">
        <f>SUM(C52:C54)</f>
        <v>0</v>
      </c>
      <c r="D51" s="384">
        <f>SUM(D52:D54)</f>
        <v>0</v>
      </c>
      <c r="E51" s="367">
        <f>SUM(E52:E54)</f>
        <v>0</v>
      </c>
    </row>
    <row r="52" spans="1:5" s="394" customFormat="1" ht="12" customHeight="1">
      <c r="A52" s="347" t="s">
        <v>69</v>
      </c>
      <c r="B52" s="395" t="s">
        <v>350</v>
      </c>
      <c r="C52" s="386"/>
      <c r="D52" s="386"/>
      <c r="E52" s="369"/>
    </row>
    <row r="53" spans="1:5" s="394" customFormat="1" ht="12" customHeight="1">
      <c r="A53" s="346" t="s">
        <v>70</v>
      </c>
      <c r="B53" s="396" t="s">
        <v>351</v>
      </c>
      <c r="C53" s="385"/>
      <c r="D53" s="385"/>
      <c r="E53" s="368"/>
    </row>
    <row r="54" spans="1:5" s="394" customFormat="1" ht="12" customHeight="1">
      <c r="A54" s="346" t="s">
        <v>352</v>
      </c>
      <c r="B54" s="396" t="s">
        <v>353</v>
      </c>
      <c r="C54" s="385"/>
      <c r="D54" s="385"/>
      <c r="E54" s="368"/>
    </row>
    <row r="55" spans="1:5" s="394" customFormat="1" ht="12" customHeight="1" thickBot="1">
      <c r="A55" s="348" t="s">
        <v>354</v>
      </c>
      <c r="B55" s="397" t="s">
        <v>355</v>
      </c>
      <c r="C55" s="387"/>
      <c r="D55" s="387"/>
      <c r="E55" s="370"/>
    </row>
    <row r="56" spans="1:5" s="394" customFormat="1" ht="12" customHeight="1" thickBot="1">
      <c r="A56" s="352" t="s">
        <v>14</v>
      </c>
      <c r="B56" s="374" t="s">
        <v>356</v>
      </c>
      <c r="C56" s="384">
        <f>SUM(C57:C59)</f>
        <v>0</v>
      </c>
      <c r="D56" s="384">
        <f>SUM(D57:D59)</f>
        <v>0</v>
      </c>
      <c r="E56" s="367">
        <f>SUM(E57:E59)</f>
        <v>0</v>
      </c>
    </row>
    <row r="57" spans="1:5" s="394" customFormat="1" ht="12" customHeight="1">
      <c r="A57" s="347" t="s">
        <v>131</v>
      </c>
      <c r="B57" s="395" t="s">
        <v>357</v>
      </c>
      <c r="C57" s="388"/>
      <c r="D57" s="388"/>
      <c r="E57" s="371"/>
    </row>
    <row r="58" spans="1:5" s="394" customFormat="1" ht="12" customHeight="1">
      <c r="A58" s="346" t="s">
        <v>132</v>
      </c>
      <c r="B58" s="396" t="s">
        <v>358</v>
      </c>
      <c r="C58" s="388"/>
      <c r="D58" s="388"/>
      <c r="E58" s="371"/>
    </row>
    <row r="59" spans="1:5" s="394" customFormat="1" ht="12" customHeight="1">
      <c r="A59" s="346" t="s">
        <v>157</v>
      </c>
      <c r="B59" s="396" t="s">
        <v>359</v>
      </c>
      <c r="C59" s="388"/>
      <c r="D59" s="388"/>
      <c r="E59" s="371"/>
    </row>
    <row r="60" spans="1:5" s="394" customFormat="1" ht="12" customHeight="1" thickBot="1">
      <c r="A60" s="348" t="s">
        <v>360</v>
      </c>
      <c r="B60" s="397" t="s">
        <v>361</v>
      </c>
      <c r="C60" s="388"/>
      <c r="D60" s="388"/>
      <c r="E60" s="371"/>
    </row>
    <row r="61" spans="1:5" s="394" customFormat="1" ht="12" customHeight="1" thickBot="1">
      <c r="A61" s="352" t="s">
        <v>15</v>
      </c>
      <c r="B61" s="353" t="s">
        <v>362</v>
      </c>
      <c r="C61" s="390">
        <f>+C6+C13+C20+C27+C34+C45+C51+C56</f>
        <v>48145000</v>
      </c>
      <c r="D61" s="390">
        <f>+D6+D13+D20+D27+D34+D45+D51+D56</f>
        <v>56370000</v>
      </c>
      <c r="E61" s="403">
        <f>+E6+E13+E20+E27+E34+E45+E51+E56</f>
        <v>27928881</v>
      </c>
    </row>
    <row r="62" spans="1:5" s="394" customFormat="1" ht="12" customHeight="1" thickBot="1">
      <c r="A62" s="406" t="s">
        <v>363</v>
      </c>
      <c r="B62" s="374" t="s">
        <v>364</v>
      </c>
      <c r="C62" s="384">
        <f>+C63+C64+C65</f>
        <v>0</v>
      </c>
      <c r="D62" s="384">
        <f>+D63+D64+D65</f>
        <v>0</v>
      </c>
      <c r="E62" s="367">
        <f>+E63+E64+E65</f>
        <v>0</v>
      </c>
    </row>
    <row r="63" spans="1:5" s="394" customFormat="1" ht="12" customHeight="1">
      <c r="A63" s="347" t="s">
        <v>365</v>
      </c>
      <c r="B63" s="395" t="s">
        <v>366</v>
      </c>
      <c r="C63" s="388"/>
      <c r="D63" s="388"/>
      <c r="E63" s="371"/>
    </row>
    <row r="64" spans="1:5" s="394" customFormat="1" ht="12" customHeight="1">
      <c r="A64" s="346" t="s">
        <v>367</v>
      </c>
      <c r="B64" s="396" t="s">
        <v>368</v>
      </c>
      <c r="C64" s="388"/>
      <c r="D64" s="388"/>
      <c r="E64" s="371"/>
    </row>
    <row r="65" spans="1:5" s="394" customFormat="1" ht="12" customHeight="1" thickBot="1">
      <c r="A65" s="348" t="s">
        <v>369</v>
      </c>
      <c r="B65" s="332" t="s">
        <v>414</v>
      </c>
      <c r="C65" s="388"/>
      <c r="D65" s="388"/>
      <c r="E65" s="371"/>
    </row>
    <row r="66" spans="1:5" s="394" customFormat="1" ht="12" customHeight="1" thickBot="1">
      <c r="A66" s="406" t="s">
        <v>371</v>
      </c>
      <c r="B66" s="374" t="s">
        <v>372</v>
      </c>
      <c r="C66" s="384">
        <f>+C67+C68+C69+C70</f>
        <v>0</v>
      </c>
      <c r="D66" s="384">
        <f>+D67+D68+D69+D70</f>
        <v>0</v>
      </c>
      <c r="E66" s="367">
        <f>+E67+E68+E69+E70</f>
        <v>0</v>
      </c>
    </row>
    <row r="67" spans="1:5" s="394" customFormat="1" ht="13.5" customHeight="1">
      <c r="A67" s="347" t="s">
        <v>108</v>
      </c>
      <c r="B67" s="395" t="s">
        <v>373</v>
      </c>
      <c r="C67" s="388"/>
      <c r="D67" s="388"/>
      <c r="E67" s="371"/>
    </row>
    <row r="68" spans="1:5" s="394" customFormat="1" ht="12" customHeight="1">
      <c r="A68" s="346" t="s">
        <v>109</v>
      </c>
      <c r="B68" s="396" t="s">
        <v>374</v>
      </c>
      <c r="C68" s="388"/>
      <c r="D68" s="388"/>
      <c r="E68" s="371"/>
    </row>
    <row r="69" spans="1:5" s="394" customFormat="1" ht="12" customHeight="1">
      <c r="A69" s="346" t="s">
        <v>375</v>
      </c>
      <c r="B69" s="396" t="s">
        <v>376</v>
      </c>
      <c r="C69" s="388"/>
      <c r="D69" s="388"/>
      <c r="E69" s="371"/>
    </row>
    <row r="70" spans="1:5" s="394" customFormat="1" ht="12" customHeight="1" thickBot="1">
      <c r="A70" s="348" t="s">
        <v>377</v>
      </c>
      <c r="B70" s="397" t="s">
        <v>378</v>
      </c>
      <c r="C70" s="388"/>
      <c r="D70" s="388"/>
      <c r="E70" s="371"/>
    </row>
    <row r="71" spans="1:5" s="394" customFormat="1" ht="12" customHeight="1" thickBot="1">
      <c r="A71" s="406" t="s">
        <v>379</v>
      </c>
      <c r="B71" s="374" t="s">
        <v>380</v>
      </c>
      <c r="C71" s="384">
        <f>+C72+C73</f>
        <v>0</v>
      </c>
      <c r="D71" s="384">
        <f>+D72+D73</f>
        <v>0</v>
      </c>
      <c r="E71" s="367">
        <f>+E72+E73</f>
        <v>0</v>
      </c>
    </row>
    <row r="72" spans="1:5" s="394" customFormat="1" ht="12" customHeight="1">
      <c r="A72" s="347" t="s">
        <v>381</v>
      </c>
      <c r="B72" s="395" t="s">
        <v>382</v>
      </c>
      <c r="C72" s="388"/>
      <c r="D72" s="388"/>
      <c r="E72" s="371"/>
    </row>
    <row r="73" spans="1:5" s="394" customFormat="1" ht="12" customHeight="1" thickBot="1">
      <c r="A73" s="348" t="s">
        <v>383</v>
      </c>
      <c r="B73" s="397" t="s">
        <v>384</v>
      </c>
      <c r="C73" s="388"/>
      <c r="D73" s="388"/>
      <c r="E73" s="371"/>
    </row>
    <row r="74" spans="1:5" s="394" customFormat="1" ht="12" customHeight="1" thickBot="1">
      <c r="A74" s="406" t="s">
        <v>385</v>
      </c>
      <c r="B74" s="374" t="s">
        <v>386</v>
      </c>
      <c r="C74" s="384">
        <f>+C75+C76+C77</f>
        <v>0</v>
      </c>
      <c r="D74" s="384">
        <f>+D75+D76+D77</f>
        <v>0</v>
      </c>
      <c r="E74" s="367">
        <f>+E75+E76+E77</f>
        <v>0</v>
      </c>
    </row>
    <row r="75" spans="1:5" s="394" customFormat="1" ht="12" customHeight="1">
      <c r="A75" s="347" t="s">
        <v>387</v>
      </c>
      <c r="B75" s="395" t="s">
        <v>388</v>
      </c>
      <c r="C75" s="388"/>
      <c r="D75" s="388"/>
      <c r="E75" s="371"/>
    </row>
    <row r="76" spans="1:5" s="394" customFormat="1" ht="12" customHeight="1">
      <c r="A76" s="346" t="s">
        <v>389</v>
      </c>
      <c r="B76" s="396" t="s">
        <v>390</v>
      </c>
      <c r="C76" s="388"/>
      <c r="D76" s="388"/>
      <c r="E76" s="371"/>
    </row>
    <row r="77" spans="1:5" s="394" customFormat="1" ht="12" customHeight="1" thickBot="1">
      <c r="A77" s="348" t="s">
        <v>391</v>
      </c>
      <c r="B77" s="376" t="s">
        <v>392</v>
      </c>
      <c r="C77" s="388"/>
      <c r="D77" s="388"/>
      <c r="E77" s="371"/>
    </row>
    <row r="78" spans="1:5" s="394" customFormat="1" ht="12" customHeight="1" thickBot="1">
      <c r="A78" s="406" t="s">
        <v>393</v>
      </c>
      <c r="B78" s="374" t="s">
        <v>394</v>
      </c>
      <c r="C78" s="384">
        <f>+C79+C80+C81+C82</f>
        <v>0</v>
      </c>
      <c r="D78" s="384">
        <f>+D79+D80+D81+D82</f>
        <v>0</v>
      </c>
      <c r="E78" s="367">
        <f>+E79+E80+E81+E82</f>
        <v>0</v>
      </c>
    </row>
    <row r="79" spans="1:5" s="394" customFormat="1" ht="12" customHeight="1">
      <c r="A79" s="398" t="s">
        <v>395</v>
      </c>
      <c r="B79" s="395" t="s">
        <v>396</v>
      </c>
      <c r="C79" s="388"/>
      <c r="D79" s="388"/>
      <c r="E79" s="371"/>
    </row>
    <row r="80" spans="1:5" s="394" customFormat="1" ht="12" customHeight="1">
      <c r="A80" s="399" t="s">
        <v>397</v>
      </c>
      <c r="B80" s="396" t="s">
        <v>398</v>
      </c>
      <c r="C80" s="388"/>
      <c r="D80" s="388"/>
      <c r="E80" s="371"/>
    </row>
    <row r="81" spans="1:5" s="394" customFormat="1" ht="12" customHeight="1">
      <c r="A81" s="399" t="s">
        <v>399</v>
      </c>
      <c r="B81" s="396" t="s">
        <v>400</v>
      </c>
      <c r="C81" s="388"/>
      <c r="D81" s="388"/>
      <c r="E81" s="371"/>
    </row>
    <row r="82" spans="1:5" s="394" customFormat="1" ht="12" customHeight="1" thickBot="1">
      <c r="A82" s="407" t="s">
        <v>401</v>
      </c>
      <c r="B82" s="376" t="s">
        <v>402</v>
      </c>
      <c r="C82" s="388"/>
      <c r="D82" s="388"/>
      <c r="E82" s="371"/>
    </row>
    <row r="83" spans="1:5" s="394" customFormat="1" ht="12" customHeight="1" thickBot="1">
      <c r="A83" s="406" t="s">
        <v>403</v>
      </c>
      <c r="B83" s="374" t="s">
        <v>404</v>
      </c>
      <c r="C83" s="409"/>
      <c r="D83" s="409"/>
      <c r="E83" s="410"/>
    </row>
    <row r="84" spans="1:5" s="394" customFormat="1" ht="12" customHeight="1" thickBot="1">
      <c r="A84" s="406" t="s">
        <v>405</v>
      </c>
      <c r="B84" s="330" t="s">
        <v>406</v>
      </c>
      <c r="C84" s="390">
        <f>+C62+C66+C71+C74+C78+C83</f>
        <v>0</v>
      </c>
      <c r="D84" s="390">
        <f>+D62+D66+D71+D74+D78+D83</f>
        <v>0</v>
      </c>
      <c r="E84" s="403">
        <f>+E62+E66+E71+E74+E78+E83</f>
        <v>0</v>
      </c>
    </row>
    <row r="85" spans="1:5" s="394" customFormat="1" ht="12" customHeight="1" thickBot="1">
      <c r="A85" s="408" t="s">
        <v>407</v>
      </c>
      <c r="B85" s="333" t="s">
        <v>408</v>
      </c>
      <c r="C85" s="390">
        <f>+C61+C84</f>
        <v>48145000</v>
      </c>
      <c r="D85" s="390">
        <f>+D61+D84</f>
        <v>56370000</v>
      </c>
      <c r="E85" s="403">
        <f>+E61+E84</f>
        <v>27928881</v>
      </c>
    </row>
    <row r="86" spans="1:5" s="394" customFormat="1" ht="12" customHeight="1">
      <c r="A86" s="328"/>
      <c r="B86" s="328"/>
      <c r="C86" s="329"/>
      <c r="D86" s="329"/>
      <c r="E86" s="329"/>
    </row>
    <row r="87" spans="1:5" ht="16.5" customHeight="1">
      <c r="A87" s="823" t="s">
        <v>36</v>
      </c>
      <c r="B87" s="823"/>
      <c r="C87" s="823"/>
      <c r="D87" s="823"/>
      <c r="E87" s="823"/>
    </row>
    <row r="88" spans="1:5" s="400" customFormat="1" ht="16.5" customHeight="1" thickBot="1">
      <c r="A88" s="46" t="s">
        <v>112</v>
      </c>
      <c r="B88" s="46"/>
      <c r="C88" s="361"/>
      <c r="D88" s="361"/>
      <c r="E88" s="361" t="s">
        <v>752</v>
      </c>
    </row>
    <row r="89" spans="1:5" s="400" customFormat="1" ht="16.5" customHeight="1">
      <c r="A89" s="824" t="s">
        <v>59</v>
      </c>
      <c r="B89" s="826" t="s">
        <v>177</v>
      </c>
      <c r="C89" s="828" t="str">
        <f>+C3</f>
        <v>2016. évi</v>
      </c>
      <c r="D89" s="828"/>
      <c r="E89" s="829"/>
    </row>
    <row r="90" spans="1:5" ht="38.1" customHeight="1" thickBot="1">
      <c r="A90" s="825"/>
      <c r="B90" s="827"/>
      <c r="C90" s="47" t="s">
        <v>178</v>
      </c>
      <c r="D90" s="47" t="s">
        <v>183</v>
      </c>
      <c r="E90" s="48" t="s">
        <v>184</v>
      </c>
    </row>
    <row r="91" spans="1:5" s="393" customFormat="1" ht="12" customHeight="1" thickBot="1">
      <c r="A91" s="357" t="s">
        <v>409</v>
      </c>
      <c r="B91" s="358" t="s">
        <v>410</v>
      </c>
      <c r="C91" s="358" t="s">
        <v>411</v>
      </c>
      <c r="D91" s="358" t="s">
        <v>412</v>
      </c>
      <c r="E91" s="359" t="s">
        <v>413</v>
      </c>
    </row>
    <row r="92" spans="1:5" ht="12" customHeight="1" thickBot="1">
      <c r="A92" s="354" t="s">
        <v>7</v>
      </c>
      <c r="B92" s="356" t="s">
        <v>415</v>
      </c>
      <c r="C92" s="383">
        <f>SUM(C93:C97)</f>
        <v>57965000</v>
      </c>
      <c r="D92" s="383">
        <f>SUM(D93:D97)</f>
        <v>62272088</v>
      </c>
      <c r="E92" s="338">
        <f>SUM(E93:E97)</f>
        <v>45815461</v>
      </c>
    </row>
    <row r="93" spans="1:5" ht="12" customHeight="1">
      <c r="A93" s="349" t="s">
        <v>71</v>
      </c>
      <c r="B93" s="342" t="s">
        <v>37</v>
      </c>
      <c r="C93" s="98">
        <v>11352000</v>
      </c>
      <c r="D93" s="98">
        <v>13313000</v>
      </c>
      <c r="E93" s="337">
        <v>9503051</v>
      </c>
    </row>
    <row r="94" spans="1:5" ht="12" customHeight="1">
      <c r="A94" s="346" t="s">
        <v>72</v>
      </c>
      <c r="B94" s="340" t="s">
        <v>133</v>
      </c>
      <c r="C94" s="385">
        <v>3065000</v>
      </c>
      <c r="D94" s="385">
        <v>3586520</v>
      </c>
      <c r="E94" s="368">
        <v>2565826</v>
      </c>
    </row>
    <row r="95" spans="1:5" ht="12" customHeight="1">
      <c r="A95" s="346" t="s">
        <v>73</v>
      </c>
      <c r="B95" s="340" t="s">
        <v>100</v>
      </c>
      <c r="C95" s="387">
        <v>31048000</v>
      </c>
      <c r="D95" s="387">
        <v>32814271</v>
      </c>
      <c r="E95" s="370">
        <v>25799125</v>
      </c>
    </row>
    <row r="96" spans="1:5" ht="12" customHeight="1">
      <c r="A96" s="346" t="s">
        <v>74</v>
      </c>
      <c r="B96" s="343" t="s">
        <v>134</v>
      </c>
      <c r="C96" s="387"/>
      <c r="D96" s="387"/>
      <c r="E96" s="370"/>
    </row>
    <row r="97" spans="1:5" ht="12" customHeight="1">
      <c r="A97" s="346" t="s">
        <v>83</v>
      </c>
      <c r="B97" s="351" t="s">
        <v>135</v>
      </c>
      <c r="C97" s="387">
        <v>12500000</v>
      </c>
      <c r="D97" s="387">
        <v>12558297</v>
      </c>
      <c r="E97" s="370">
        <v>7947459</v>
      </c>
    </row>
    <row r="98" spans="1:5" ht="12" customHeight="1">
      <c r="A98" s="346" t="s">
        <v>75</v>
      </c>
      <c r="B98" s="340" t="s">
        <v>416</v>
      </c>
      <c r="C98" s="387"/>
      <c r="D98" s="387"/>
      <c r="E98" s="370"/>
    </row>
    <row r="99" spans="1:5" ht="12" customHeight="1">
      <c r="A99" s="346" t="s">
        <v>76</v>
      </c>
      <c r="B99" s="363" t="s">
        <v>417</v>
      </c>
      <c r="C99" s="387"/>
      <c r="D99" s="387"/>
      <c r="E99" s="370"/>
    </row>
    <row r="100" spans="1:5" ht="12" customHeight="1">
      <c r="A100" s="346" t="s">
        <v>84</v>
      </c>
      <c r="B100" s="364" t="s">
        <v>418</v>
      </c>
      <c r="C100" s="387"/>
      <c r="D100" s="387"/>
      <c r="E100" s="370"/>
    </row>
    <row r="101" spans="1:5" ht="12" customHeight="1">
      <c r="A101" s="346" t="s">
        <v>85</v>
      </c>
      <c r="B101" s="364" t="s">
        <v>419</v>
      </c>
      <c r="C101" s="387"/>
      <c r="D101" s="387"/>
      <c r="E101" s="370"/>
    </row>
    <row r="102" spans="1:5" ht="12" customHeight="1">
      <c r="A102" s="346" t="s">
        <v>86</v>
      </c>
      <c r="B102" s="363" t="s">
        <v>420</v>
      </c>
      <c r="C102" s="387"/>
      <c r="D102" s="387"/>
      <c r="E102" s="370"/>
    </row>
    <row r="103" spans="1:5" ht="12" customHeight="1">
      <c r="A103" s="346" t="s">
        <v>87</v>
      </c>
      <c r="B103" s="363" t="s">
        <v>421</v>
      </c>
      <c r="C103" s="387"/>
      <c r="D103" s="387"/>
      <c r="E103" s="370"/>
    </row>
    <row r="104" spans="1:5" ht="12" customHeight="1">
      <c r="A104" s="346" t="s">
        <v>89</v>
      </c>
      <c r="B104" s="364" t="s">
        <v>422</v>
      </c>
      <c r="C104" s="387"/>
      <c r="D104" s="387"/>
      <c r="E104" s="370"/>
    </row>
    <row r="105" spans="1:5" ht="12" customHeight="1">
      <c r="A105" s="345" t="s">
        <v>136</v>
      </c>
      <c r="B105" s="365" t="s">
        <v>423</v>
      </c>
      <c r="C105" s="387"/>
      <c r="D105" s="387"/>
      <c r="E105" s="370"/>
    </row>
    <row r="106" spans="1:5" ht="12" customHeight="1">
      <c r="A106" s="346" t="s">
        <v>424</v>
      </c>
      <c r="B106" s="365" t="s">
        <v>425</v>
      </c>
      <c r="C106" s="387"/>
      <c r="D106" s="387"/>
      <c r="E106" s="370"/>
    </row>
    <row r="107" spans="1:5" ht="12" customHeight="1" thickBot="1">
      <c r="A107" s="350" t="s">
        <v>426</v>
      </c>
      <c r="B107" s="366" t="s">
        <v>427</v>
      </c>
      <c r="C107" s="99">
        <v>12500000</v>
      </c>
      <c r="D107" s="99">
        <v>12500000</v>
      </c>
      <c r="E107" s="331">
        <v>7947459</v>
      </c>
    </row>
    <row r="108" spans="1:5" ht="12" customHeight="1" thickBot="1">
      <c r="A108" s="352" t="s">
        <v>8</v>
      </c>
      <c r="B108" s="355" t="s">
        <v>428</v>
      </c>
      <c r="C108" s="384">
        <f>+C109+C111+C113</f>
        <v>0</v>
      </c>
      <c r="D108" s="384">
        <f>+D109+D111+D113</f>
        <v>0</v>
      </c>
      <c r="E108" s="367">
        <f>+E109+E111+E113</f>
        <v>0</v>
      </c>
    </row>
    <row r="109" spans="1:5" ht="12" customHeight="1">
      <c r="A109" s="347" t="s">
        <v>77</v>
      </c>
      <c r="B109" s="340" t="s">
        <v>155</v>
      </c>
      <c r="C109" s="386"/>
      <c r="D109" s="386"/>
      <c r="E109" s="369"/>
    </row>
    <row r="110" spans="1:5" ht="12" customHeight="1">
      <c r="A110" s="347" t="s">
        <v>78</v>
      </c>
      <c r="B110" s="344" t="s">
        <v>429</v>
      </c>
      <c r="C110" s="386"/>
      <c r="D110" s="386"/>
      <c r="E110" s="369"/>
    </row>
    <row r="111" spans="1:5">
      <c r="A111" s="347" t="s">
        <v>79</v>
      </c>
      <c r="B111" s="344" t="s">
        <v>137</v>
      </c>
      <c r="C111" s="385"/>
      <c r="D111" s="385"/>
      <c r="E111" s="368"/>
    </row>
    <row r="112" spans="1:5" ht="12" customHeight="1">
      <c r="A112" s="347" t="s">
        <v>80</v>
      </c>
      <c r="B112" s="344" t="s">
        <v>430</v>
      </c>
      <c r="C112" s="385"/>
      <c r="D112" s="385"/>
      <c r="E112" s="368"/>
    </row>
    <row r="113" spans="1:5" ht="12" customHeight="1">
      <c r="A113" s="347" t="s">
        <v>81</v>
      </c>
      <c r="B113" s="376" t="s">
        <v>158</v>
      </c>
      <c r="C113" s="385"/>
      <c r="D113" s="385"/>
      <c r="E113" s="368"/>
    </row>
    <row r="114" spans="1:5" ht="21.75" customHeight="1">
      <c r="A114" s="347" t="s">
        <v>88</v>
      </c>
      <c r="B114" s="375" t="s">
        <v>431</v>
      </c>
      <c r="C114" s="385"/>
      <c r="D114" s="385"/>
      <c r="E114" s="368"/>
    </row>
    <row r="115" spans="1:5" ht="24" customHeight="1">
      <c r="A115" s="347" t="s">
        <v>90</v>
      </c>
      <c r="B115" s="391" t="s">
        <v>432</v>
      </c>
      <c r="C115" s="385"/>
      <c r="D115" s="385"/>
      <c r="E115" s="368"/>
    </row>
    <row r="116" spans="1:5" ht="12" customHeight="1">
      <c r="A116" s="347" t="s">
        <v>138</v>
      </c>
      <c r="B116" s="364" t="s">
        <v>419</v>
      </c>
      <c r="C116" s="385"/>
      <c r="D116" s="385"/>
      <c r="E116" s="368"/>
    </row>
    <row r="117" spans="1:5" ht="12" customHeight="1">
      <c r="A117" s="347" t="s">
        <v>139</v>
      </c>
      <c r="B117" s="364" t="s">
        <v>433</v>
      </c>
      <c r="C117" s="385"/>
      <c r="D117" s="385"/>
      <c r="E117" s="368"/>
    </row>
    <row r="118" spans="1:5" ht="12" customHeight="1">
      <c r="A118" s="347" t="s">
        <v>140</v>
      </c>
      <c r="B118" s="364" t="s">
        <v>434</v>
      </c>
      <c r="C118" s="385"/>
      <c r="D118" s="385"/>
      <c r="E118" s="368"/>
    </row>
    <row r="119" spans="1:5" s="411" customFormat="1" ht="12" customHeight="1">
      <c r="A119" s="347" t="s">
        <v>435</v>
      </c>
      <c r="B119" s="364" t="s">
        <v>422</v>
      </c>
      <c r="C119" s="385"/>
      <c r="D119" s="385"/>
      <c r="E119" s="368"/>
    </row>
    <row r="120" spans="1:5" ht="12" customHeight="1">
      <c r="A120" s="347" t="s">
        <v>436</v>
      </c>
      <c r="B120" s="364" t="s">
        <v>437</v>
      </c>
      <c r="C120" s="385"/>
      <c r="D120" s="385"/>
      <c r="E120" s="368"/>
    </row>
    <row r="121" spans="1:5" ht="12" customHeight="1" thickBot="1">
      <c r="A121" s="345" t="s">
        <v>438</v>
      </c>
      <c r="B121" s="364" t="s">
        <v>439</v>
      </c>
      <c r="C121" s="387"/>
      <c r="D121" s="387"/>
      <c r="E121" s="370"/>
    </row>
    <row r="122" spans="1:5" ht="12" customHeight="1" thickBot="1">
      <c r="A122" s="352" t="s">
        <v>9</v>
      </c>
      <c r="B122" s="360" t="s">
        <v>440</v>
      </c>
      <c r="C122" s="384">
        <f>+C123+C124</f>
        <v>0</v>
      </c>
      <c r="D122" s="384">
        <f>+D123+D124</f>
        <v>0</v>
      </c>
      <c r="E122" s="367">
        <f>+E123+E124</f>
        <v>0</v>
      </c>
    </row>
    <row r="123" spans="1:5" ht="12" customHeight="1">
      <c r="A123" s="347" t="s">
        <v>60</v>
      </c>
      <c r="B123" s="341" t="s">
        <v>45</v>
      </c>
      <c r="C123" s="386"/>
      <c r="D123" s="386"/>
      <c r="E123" s="369"/>
    </row>
    <row r="124" spans="1:5" ht="12" customHeight="1" thickBot="1">
      <c r="A124" s="348" t="s">
        <v>61</v>
      </c>
      <c r="B124" s="344" t="s">
        <v>46</v>
      </c>
      <c r="C124" s="387"/>
      <c r="D124" s="387"/>
      <c r="E124" s="370"/>
    </row>
    <row r="125" spans="1:5" ht="12" customHeight="1" thickBot="1">
      <c r="A125" s="352" t="s">
        <v>10</v>
      </c>
      <c r="B125" s="360" t="s">
        <v>441</v>
      </c>
      <c r="C125" s="384">
        <f>+C92+C108+C122</f>
        <v>57965000</v>
      </c>
      <c r="D125" s="384">
        <f>+D92+D108+D122</f>
        <v>62272088</v>
      </c>
      <c r="E125" s="367">
        <f>+E92+E108+E122</f>
        <v>45815461</v>
      </c>
    </row>
    <row r="126" spans="1:5" ht="12" customHeight="1" thickBot="1">
      <c r="A126" s="352" t="s">
        <v>11</v>
      </c>
      <c r="B126" s="360" t="s">
        <v>442</v>
      </c>
      <c r="C126" s="384">
        <f>+C127+C128+C129</f>
        <v>0</v>
      </c>
      <c r="D126" s="384">
        <f>+D127+D128+D129</f>
        <v>0</v>
      </c>
      <c r="E126" s="367">
        <f>+E127+E128+E129</f>
        <v>0</v>
      </c>
    </row>
    <row r="127" spans="1:5" ht="12" customHeight="1">
      <c r="A127" s="347" t="s">
        <v>64</v>
      </c>
      <c r="B127" s="341" t="s">
        <v>443</v>
      </c>
      <c r="C127" s="385"/>
      <c r="D127" s="385"/>
      <c r="E127" s="368"/>
    </row>
    <row r="128" spans="1:5" ht="12" customHeight="1">
      <c r="A128" s="347" t="s">
        <v>65</v>
      </c>
      <c r="B128" s="341" t="s">
        <v>444</v>
      </c>
      <c r="C128" s="385"/>
      <c r="D128" s="385"/>
      <c r="E128" s="368"/>
    </row>
    <row r="129" spans="1:9" ht="12" customHeight="1" thickBot="1">
      <c r="A129" s="345" t="s">
        <v>66</v>
      </c>
      <c r="B129" s="339" t="s">
        <v>445</v>
      </c>
      <c r="C129" s="385"/>
      <c r="D129" s="385"/>
      <c r="E129" s="368"/>
    </row>
    <row r="130" spans="1:9" ht="12" customHeight="1" thickBot="1">
      <c r="A130" s="352" t="s">
        <v>12</v>
      </c>
      <c r="B130" s="360" t="s">
        <v>446</v>
      </c>
      <c r="C130" s="384">
        <f>+C131+C132+C134+C133</f>
        <v>0</v>
      </c>
      <c r="D130" s="384">
        <f>+D131+D132+D134+D133</f>
        <v>0</v>
      </c>
      <c r="E130" s="367">
        <f>+E131+E132+E134+E133</f>
        <v>0</v>
      </c>
    </row>
    <row r="131" spans="1:9" ht="12" customHeight="1">
      <c r="A131" s="347" t="s">
        <v>67</v>
      </c>
      <c r="B131" s="341" t="s">
        <v>447</v>
      </c>
      <c r="C131" s="385"/>
      <c r="D131" s="385"/>
      <c r="E131" s="368"/>
    </row>
    <row r="132" spans="1:9" ht="12" customHeight="1">
      <c r="A132" s="347" t="s">
        <v>68</v>
      </c>
      <c r="B132" s="341" t="s">
        <v>448</v>
      </c>
      <c r="C132" s="385"/>
      <c r="D132" s="385"/>
      <c r="E132" s="368"/>
    </row>
    <row r="133" spans="1:9" ht="12" customHeight="1">
      <c r="A133" s="347" t="s">
        <v>343</v>
      </c>
      <c r="B133" s="341" t="s">
        <v>449</v>
      </c>
      <c r="C133" s="385"/>
      <c r="D133" s="385"/>
      <c r="E133" s="368"/>
    </row>
    <row r="134" spans="1:9" ht="12" customHeight="1" thickBot="1">
      <c r="A134" s="345" t="s">
        <v>345</v>
      </c>
      <c r="B134" s="339" t="s">
        <v>450</v>
      </c>
      <c r="C134" s="385"/>
      <c r="D134" s="385"/>
      <c r="E134" s="368"/>
    </row>
    <row r="135" spans="1:9" ht="12" customHeight="1" thickBot="1">
      <c r="A135" s="352" t="s">
        <v>13</v>
      </c>
      <c r="B135" s="360" t="s">
        <v>451</v>
      </c>
      <c r="C135" s="390">
        <f>+C136+C137+C138+C139</f>
        <v>0</v>
      </c>
      <c r="D135" s="390">
        <f>+D136+D137+D138+D139</f>
        <v>0</v>
      </c>
      <c r="E135" s="403">
        <f>+E136+E137+E138+E139</f>
        <v>0</v>
      </c>
    </row>
    <row r="136" spans="1:9" ht="12" customHeight="1">
      <c r="A136" s="347" t="s">
        <v>69</v>
      </c>
      <c r="B136" s="341" t="s">
        <v>452</v>
      </c>
      <c r="C136" s="385"/>
      <c r="D136" s="385"/>
      <c r="E136" s="368"/>
    </row>
    <row r="137" spans="1:9" ht="12" customHeight="1">
      <c r="A137" s="347" t="s">
        <v>70</v>
      </c>
      <c r="B137" s="341" t="s">
        <v>453</v>
      </c>
      <c r="C137" s="385"/>
      <c r="D137" s="385"/>
      <c r="E137" s="368"/>
    </row>
    <row r="138" spans="1:9" ht="12" customHeight="1">
      <c r="A138" s="347" t="s">
        <v>352</v>
      </c>
      <c r="B138" s="341" t="s">
        <v>454</v>
      </c>
      <c r="C138" s="385"/>
      <c r="D138" s="385"/>
      <c r="E138" s="368"/>
    </row>
    <row r="139" spans="1:9" ht="12" customHeight="1" thickBot="1">
      <c r="A139" s="345" t="s">
        <v>354</v>
      </c>
      <c r="B139" s="339" t="s">
        <v>455</v>
      </c>
      <c r="C139" s="385"/>
      <c r="D139" s="385"/>
      <c r="E139" s="368"/>
    </row>
    <row r="140" spans="1:9" ht="15" customHeight="1" thickBot="1">
      <c r="A140" s="352" t="s">
        <v>14</v>
      </c>
      <c r="B140" s="360" t="s">
        <v>456</v>
      </c>
      <c r="C140" s="100">
        <f>+C141+C142+C143+C144</f>
        <v>0</v>
      </c>
      <c r="D140" s="100">
        <f>+D141+D142+D143+D144</f>
        <v>0</v>
      </c>
      <c r="E140" s="336">
        <f>+E141+E142+E143+E144</f>
        <v>0</v>
      </c>
      <c r="F140" s="401"/>
      <c r="G140" s="402"/>
      <c r="H140" s="402"/>
      <c r="I140" s="402"/>
    </row>
    <row r="141" spans="1:9" s="394" customFormat="1" ht="12.95" customHeight="1">
      <c r="A141" s="347" t="s">
        <v>131</v>
      </c>
      <c r="B141" s="341" t="s">
        <v>457</v>
      </c>
      <c r="C141" s="385"/>
      <c r="D141" s="385"/>
      <c r="E141" s="368"/>
    </row>
    <row r="142" spans="1:9" ht="12.75" customHeight="1">
      <c r="A142" s="347" t="s">
        <v>132</v>
      </c>
      <c r="B142" s="341" t="s">
        <v>458</v>
      </c>
      <c r="C142" s="385"/>
      <c r="D142" s="385"/>
      <c r="E142" s="368"/>
    </row>
    <row r="143" spans="1:9" ht="12.75" customHeight="1">
      <c r="A143" s="347" t="s">
        <v>157</v>
      </c>
      <c r="B143" s="341" t="s">
        <v>459</v>
      </c>
      <c r="C143" s="385"/>
      <c r="D143" s="385"/>
      <c r="E143" s="368"/>
    </row>
    <row r="144" spans="1:9" ht="12.75" customHeight="1" thickBot="1">
      <c r="A144" s="347" t="s">
        <v>360</v>
      </c>
      <c r="B144" s="341" t="s">
        <v>460</v>
      </c>
      <c r="C144" s="385"/>
      <c r="D144" s="385"/>
      <c r="E144" s="368"/>
    </row>
    <row r="145" spans="1:5" ht="16.5" thickBot="1">
      <c r="A145" s="352" t="s">
        <v>15</v>
      </c>
      <c r="B145" s="360" t="s">
        <v>461</v>
      </c>
      <c r="C145" s="334">
        <f>+C126+C130+C135+C140</f>
        <v>0</v>
      </c>
      <c r="D145" s="334">
        <f>+D126+D130+D135+D140</f>
        <v>0</v>
      </c>
      <c r="E145" s="335">
        <f>+E126+E130+E135+E140</f>
        <v>0</v>
      </c>
    </row>
    <row r="146" spans="1:5" ht="16.5" thickBot="1">
      <c r="A146" s="377" t="s">
        <v>16</v>
      </c>
      <c r="B146" s="380" t="s">
        <v>462</v>
      </c>
      <c r="C146" s="334">
        <f>+C125+C145</f>
        <v>57965000</v>
      </c>
      <c r="D146" s="334">
        <f>+D125+D145</f>
        <v>62272088</v>
      </c>
      <c r="E146" s="335">
        <f>+E125+E145</f>
        <v>45815461</v>
      </c>
    </row>
    <row r="148" spans="1:5" ht="18.75" customHeight="1">
      <c r="A148" s="822" t="s">
        <v>463</v>
      </c>
      <c r="B148" s="822"/>
      <c r="C148" s="822"/>
      <c r="D148" s="822"/>
      <c r="E148" s="822"/>
    </row>
    <row r="149" spans="1:5" ht="13.5" customHeight="1" thickBot="1">
      <c r="A149" s="362" t="s">
        <v>113</v>
      </c>
      <c r="B149" s="362"/>
      <c r="C149" s="392"/>
      <c r="E149" s="379" t="s">
        <v>752</v>
      </c>
    </row>
    <row r="150" spans="1:5" ht="21.75" thickBot="1">
      <c r="A150" s="352">
        <v>1</v>
      </c>
      <c r="B150" s="355" t="s">
        <v>464</v>
      </c>
      <c r="C150" s="378">
        <f>+C61-C125</f>
        <v>-9820000</v>
      </c>
      <c r="D150" s="378">
        <f>+D61-D125</f>
        <v>-5902088</v>
      </c>
      <c r="E150" s="378">
        <f>+E61-E125</f>
        <v>-17886580</v>
      </c>
    </row>
    <row r="151" spans="1:5" ht="21.75" thickBot="1">
      <c r="A151" s="352" t="s">
        <v>8</v>
      </c>
      <c r="B151" s="355" t="s">
        <v>465</v>
      </c>
      <c r="C151" s="378">
        <f>+C84-C145</f>
        <v>0</v>
      </c>
      <c r="D151" s="378">
        <f>+D84-D145</f>
        <v>0</v>
      </c>
      <c r="E151" s="378">
        <f>+E84-E145</f>
        <v>0</v>
      </c>
    </row>
    <row r="152" spans="1:5" ht="7.5" customHeight="1"/>
    <row r="154" spans="1:5" ht="12.75" customHeight="1"/>
    <row r="155" spans="1:5" ht="12.75" customHeight="1"/>
    <row r="156" spans="1:5" ht="12.75" customHeight="1"/>
    <row r="157" spans="1:5" ht="12.75" customHeight="1"/>
    <row r="158" spans="1:5" ht="12.75" customHeight="1"/>
    <row r="159" spans="1:5" ht="12.75" customHeight="1"/>
    <row r="160" spans="1:5" ht="12.75" customHeight="1"/>
    <row r="161" spans="3:5" s="381" customFormat="1" ht="12.75" customHeight="1">
      <c r="C161" s="382"/>
      <c r="D161" s="382"/>
      <c r="E161" s="382"/>
    </row>
  </sheetData>
  <mergeCells count="9">
    <mergeCell ref="A148:E148"/>
    <mergeCell ref="A1:E1"/>
    <mergeCell ref="A3:A4"/>
    <mergeCell ref="B3:B4"/>
    <mergeCell ref="C3:E3"/>
    <mergeCell ref="A87:E87"/>
    <mergeCell ref="A89:A90"/>
    <mergeCell ref="B89:B90"/>
    <mergeCell ref="C89:E89"/>
  </mergeCells>
  <phoneticPr fontId="27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2016. ÉVI ZÁRSZÁMADÁS
ÖNKÉNT VÁLLALT FELADATAINAK MÉRLEGE
&amp;R&amp;"Times New Roman CE,Félkövér dőlt"&amp;11 1.3. melléklet a 15/2017. (V. 30.) önkormányzati rendelethez</oddHeader>
  </headerFooter>
  <rowBreaks count="1" manualBreakCount="1">
    <brk id="86" max="4" man="1"/>
  </rowBreaks>
</worksheet>
</file>

<file path=xl/worksheets/sheet40.xml><?xml version="1.0" encoding="utf-8"?>
<worksheet xmlns="http://schemas.openxmlformats.org/spreadsheetml/2006/main" xmlns:r="http://schemas.openxmlformats.org/officeDocument/2006/relationships">
  <sheetPr>
    <tabColor rgb="FF92D050"/>
  </sheetPr>
  <dimension ref="A1:I157"/>
  <sheetViews>
    <sheetView view="pageLayout" topLeftCell="A91" zoomScaleNormal="120" zoomScaleSheetLayoutView="100" workbookViewId="0">
      <selection activeCell="E139" sqref="E139"/>
    </sheetView>
  </sheetViews>
  <sheetFormatPr defaultRowHeight="15.75"/>
  <cols>
    <col min="1" max="1" width="9" style="381" customWidth="1"/>
    <col min="2" max="2" width="64.83203125" style="381" customWidth="1"/>
    <col min="3" max="3" width="17.33203125" style="381" customWidth="1"/>
    <col min="4" max="5" width="17.33203125" style="382" customWidth="1"/>
    <col min="6" max="16384" width="9.33203125" style="392"/>
  </cols>
  <sheetData>
    <row r="1" spans="1:5" ht="15.95" customHeight="1">
      <c r="A1" s="823" t="s">
        <v>4</v>
      </c>
      <c r="B1" s="823"/>
      <c r="C1" s="823"/>
      <c r="D1" s="823"/>
      <c r="E1" s="823"/>
    </row>
    <row r="2" spans="1:5" ht="15.95" customHeight="1" thickBot="1">
      <c r="A2" s="45" t="s">
        <v>111</v>
      </c>
      <c r="B2" s="45"/>
      <c r="C2" s="45"/>
      <c r="D2" s="379"/>
      <c r="E2" s="379" t="s">
        <v>156</v>
      </c>
    </row>
    <row r="3" spans="1:5" ht="15.95" customHeight="1">
      <c r="A3" s="824" t="s">
        <v>59</v>
      </c>
      <c r="B3" s="826" t="s">
        <v>6</v>
      </c>
      <c r="C3" s="924" t="str">
        <f>+CONCATENATE(LEFT(ÖSSZEFÜGGÉSEK!A4,4)-1,". évi tény")</f>
        <v>2015. évi tény</v>
      </c>
      <c r="D3" s="828" t="str">
        <f>+CONCATENATE(LEFT(ÖSSZEFÜGGÉSEK!A4,4),". évi")</f>
        <v>2016. évi</v>
      </c>
      <c r="E3" s="829"/>
    </row>
    <row r="4" spans="1:5" ht="38.1" customHeight="1" thickBot="1">
      <c r="A4" s="825"/>
      <c r="B4" s="827"/>
      <c r="C4" s="925"/>
      <c r="D4" s="47" t="s">
        <v>183</v>
      </c>
      <c r="E4" s="48" t="s">
        <v>184</v>
      </c>
    </row>
    <row r="5" spans="1:5" s="393" customFormat="1" ht="12" customHeight="1" thickBot="1">
      <c r="A5" s="357" t="s">
        <v>409</v>
      </c>
      <c r="B5" s="358" t="s">
        <v>410</v>
      </c>
      <c r="C5" s="358" t="s">
        <v>411</v>
      </c>
      <c r="D5" s="358" t="s">
        <v>413</v>
      </c>
      <c r="E5" s="359" t="s">
        <v>490</v>
      </c>
    </row>
    <row r="6" spans="1:5" s="394" customFormat="1" ht="12" customHeight="1" thickBot="1">
      <c r="A6" s="352" t="s">
        <v>7</v>
      </c>
      <c r="B6" s="589" t="s">
        <v>301</v>
      </c>
      <c r="C6" s="384">
        <f>+C7+C8+C9+C10+C11+C12</f>
        <v>532783</v>
      </c>
      <c r="D6" s="384">
        <f>+D7+D8+D9+D10+D11+D12</f>
        <v>525965</v>
      </c>
      <c r="E6" s="367">
        <f>+E7+E8+E9+E10+E11+E12</f>
        <v>520553</v>
      </c>
    </row>
    <row r="7" spans="1:5" s="394" customFormat="1" ht="12" customHeight="1">
      <c r="A7" s="347" t="s">
        <v>71</v>
      </c>
      <c r="B7" s="590" t="s">
        <v>302</v>
      </c>
      <c r="C7" s="386">
        <v>193021</v>
      </c>
      <c r="D7" s="386">
        <v>192927</v>
      </c>
      <c r="E7" s="369">
        <v>192927</v>
      </c>
    </row>
    <row r="8" spans="1:5" s="394" customFormat="1" ht="12" customHeight="1">
      <c r="A8" s="346" t="s">
        <v>72</v>
      </c>
      <c r="B8" s="591" t="s">
        <v>303</v>
      </c>
      <c r="C8" s="385">
        <v>110893</v>
      </c>
      <c r="D8" s="385">
        <v>109278</v>
      </c>
      <c r="E8" s="368">
        <v>110521</v>
      </c>
    </row>
    <row r="9" spans="1:5" s="394" customFormat="1" ht="12" customHeight="1">
      <c r="A9" s="346" t="s">
        <v>73</v>
      </c>
      <c r="B9" s="591" t="s">
        <v>304</v>
      </c>
      <c r="C9" s="385">
        <v>196125</v>
      </c>
      <c r="D9" s="385">
        <v>175655</v>
      </c>
      <c r="E9" s="368">
        <v>178591</v>
      </c>
    </row>
    <row r="10" spans="1:5" s="394" customFormat="1" ht="12" customHeight="1">
      <c r="A10" s="346" t="s">
        <v>74</v>
      </c>
      <c r="B10" s="591" t="s">
        <v>305</v>
      </c>
      <c r="C10" s="385">
        <v>8335</v>
      </c>
      <c r="D10" s="385">
        <v>8016</v>
      </c>
      <c r="E10" s="368">
        <v>8396</v>
      </c>
    </row>
    <row r="11" spans="1:5" s="394" customFormat="1" ht="12" customHeight="1">
      <c r="A11" s="346" t="s">
        <v>107</v>
      </c>
      <c r="B11" s="591" t="s">
        <v>306</v>
      </c>
      <c r="C11" s="579">
        <v>24409</v>
      </c>
      <c r="D11" s="385">
        <v>40089</v>
      </c>
      <c r="E11" s="368"/>
    </row>
    <row r="12" spans="1:5" s="394" customFormat="1" ht="12" customHeight="1" thickBot="1">
      <c r="A12" s="348" t="s">
        <v>75</v>
      </c>
      <c r="B12" s="592" t="s">
        <v>307</v>
      </c>
      <c r="C12" s="580"/>
      <c r="D12" s="387"/>
      <c r="E12" s="370">
        <v>30118</v>
      </c>
    </row>
    <row r="13" spans="1:5" s="394" customFormat="1" ht="12" customHeight="1" thickBot="1">
      <c r="A13" s="352" t="s">
        <v>8</v>
      </c>
      <c r="B13" s="593" t="s">
        <v>308</v>
      </c>
      <c r="C13" s="384">
        <f>+C14+C15+C16+C17+C18</f>
        <v>460041</v>
      </c>
      <c r="D13" s="384">
        <f>+D14+D15+D16+D17+D18</f>
        <v>364394</v>
      </c>
      <c r="E13" s="367">
        <f>+E14+E15+E16+E17+E18</f>
        <v>401092</v>
      </c>
    </row>
    <row r="14" spans="1:5" s="394" customFormat="1" ht="12" customHeight="1">
      <c r="A14" s="347" t="s">
        <v>77</v>
      </c>
      <c r="B14" s="590" t="s">
        <v>309</v>
      </c>
      <c r="C14" s="386"/>
      <c r="D14" s="386"/>
      <c r="E14" s="369"/>
    </row>
    <row r="15" spans="1:5" s="394" customFormat="1" ht="12" customHeight="1">
      <c r="A15" s="346" t="s">
        <v>78</v>
      </c>
      <c r="B15" s="591" t="s">
        <v>310</v>
      </c>
      <c r="C15" s="385"/>
      <c r="D15" s="385"/>
      <c r="E15" s="368"/>
    </row>
    <row r="16" spans="1:5" s="394" customFormat="1" ht="12" customHeight="1">
      <c r="A16" s="346" t="s">
        <v>79</v>
      </c>
      <c r="B16" s="591" t="s">
        <v>311</v>
      </c>
      <c r="C16" s="385"/>
      <c r="D16" s="385"/>
      <c r="E16" s="368"/>
    </row>
    <row r="17" spans="1:5" s="394" customFormat="1" ht="12" customHeight="1">
      <c r="A17" s="346" t="s">
        <v>80</v>
      </c>
      <c r="B17" s="591" t="s">
        <v>312</v>
      </c>
      <c r="C17" s="385"/>
      <c r="D17" s="385"/>
      <c r="E17" s="368"/>
    </row>
    <row r="18" spans="1:5" s="394" customFormat="1" ht="12" customHeight="1">
      <c r="A18" s="346" t="s">
        <v>81</v>
      </c>
      <c r="B18" s="591" t="s">
        <v>313</v>
      </c>
      <c r="C18" s="385">
        <v>460041</v>
      </c>
      <c r="D18" s="385">
        <v>364394</v>
      </c>
      <c r="E18" s="368">
        <v>401092</v>
      </c>
    </row>
    <row r="19" spans="1:5" s="394" customFormat="1" ht="12" customHeight="1" thickBot="1">
      <c r="A19" s="348" t="s">
        <v>88</v>
      </c>
      <c r="B19" s="592" t="s">
        <v>314</v>
      </c>
      <c r="C19" s="387"/>
      <c r="D19" s="387"/>
      <c r="E19" s="370"/>
    </row>
    <row r="20" spans="1:5" s="394" customFormat="1" ht="12" customHeight="1" thickBot="1">
      <c r="A20" s="352" t="s">
        <v>9</v>
      </c>
      <c r="B20" s="589" t="s">
        <v>315</v>
      </c>
      <c r="C20" s="384">
        <f>+C21+C22+C23+C24+C25</f>
        <v>464911</v>
      </c>
      <c r="D20" s="384">
        <f>+D21+D22+D23+D24+D25</f>
        <v>25272</v>
      </c>
      <c r="E20" s="367">
        <f>+E21+E22+E23+E24+E25</f>
        <v>54063</v>
      </c>
    </row>
    <row r="21" spans="1:5" s="394" customFormat="1" ht="12" customHeight="1">
      <c r="A21" s="347" t="s">
        <v>60</v>
      </c>
      <c r="B21" s="590" t="s">
        <v>316</v>
      </c>
      <c r="C21" s="386">
        <v>2420</v>
      </c>
      <c r="D21" s="386">
        <v>15229</v>
      </c>
      <c r="E21" s="369">
        <v>15229</v>
      </c>
    </row>
    <row r="22" spans="1:5" s="394" customFormat="1" ht="12" customHeight="1">
      <c r="A22" s="346" t="s">
        <v>61</v>
      </c>
      <c r="B22" s="591" t="s">
        <v>317</v>
      </c>
      <c r="C22" s="385"/>
      <c r="D22" s="385"/>
      <c r="E22" s="368"/>
    </row>
    <row r="23" spans="1:5" s="394" customFormat="1" ht="12" customHeight="1">
      <c r="A23" s="346" t="s">
        <v>62</v>
      </c>
      <c r="B23" s="591" t="s">
        <v>318</v>
      </c>
      <c r="C23" s="385"/>
      <c r="D23" s="385"/>
      <c r="E23" s="368"/>
    </row>
    <row r="24" spans="1:5" s="394" customFormat="1" ht="12" customHeight="1">
      <c r="A24" s="346" t="s">
        <v>63</v>
      </c>
      <c r="B24" s="591" t="s">
        <v>319</v>
      </c>
      <c r="C24" s="385"/>
      <c r="D24" s="385"/>
      <c r="E24" s="368"/>
    </row>
    <row r="25" spans="1:5" s="394" customFormat="1" ht="12" customHeight="1">
      <c r="A25" s="346" t="s">
        <v>121</v>
      </c>
      <c r="B25" s="591" t="s">
        <v>320</v>
      </c>
      <c r="C25" s="385">
        <v>462491</v>
      </c>
      <c r="D25" s="385">
        <v>10043</v>
      </c>
      <c r="E25" s="368">
        <v>38834</v>
      </c>
    </row>
    <row r="26" spans="1:5" s="394" customFormat="1" ht="12" customHeight="1" thickBot="1">
      <c r="A26" s="348" t="s">
        <v>122</v>
      </c>
      <c r="B26" s="592" t="s">
        <v>321</v>
      </c>
      <c r="C26" s="387"/>
      <c r="D26" s="387"/>
      <c r="E26" s="370"/>
    </row>
    <row r="27" spans="1:5" s="394" customFormat="1" ht="12" customHeight="1" thickBot="1">
      <c r="A27" s="357" t="s">
        <v>123</v>
      </c>
      <c r="B27" s="353" t="s">
        <v>718</v>
      </c>
      <c r="C27" s="390">
        <f>SUM(C28:C33)</f>
        <v>123587</v>
      </c>
      <c r="D27" s="390">
        <f>SUM(D28:D33)</f>
        <v>96558</v>
      </c>
      <c r="E27" s="403">
        <f>SUM(E28:E33)+18</f>
        <v>103839</v>
      </c>
    </row>
    <row r="28" spans="1:5" s="394" customFormat="1" ht="12" customHeight="1">
      <c r="A28" s="524" t="s">
        <v>322</v>
      </c>
      <c r="B28" s="395" t="s">
        <v>722</v>
      </c>
      <c r="C28" s="386"/>
      <c r="D28" s="386"/>
      <c r="E28" s="369"/>
    </row>
    <row r="29" spans="1:5" s="394" customFormat="1" ht="12" customHeight="1">
      <c r="A29" s="525" t="s">
        <v>323</v>
      </c>
      <c r="B29" s="396" t="s">
        <v>723</v>
      </c>
      <c r="C29" s="385"/>
      <c r="D29" s="385"/>
      <c r="E29" s="368"/>
    </row>
    <row r="30" spans="1:5" s="394" customFormat="1" ht="12" customHeight="1">
      <c r="A30" s="525" t="s">
        <v>324</v>
      </c>
      <c r="B30" s="396" t="s">
        <v>724</v>
      </c>
      <c r="C30" s="385">
        <v>88741</v>
      </c>
      <c r="D30" s="385">
        <v>67800</v>
      </c>
      <c r="E30" s="368">
        <v>72858</v>
      </c>
    </row>
    <row r="31" spans="1:5" s="394" customFormat="1" ht="12" customHeight="1">
      <c r="A31" s="525" t="s">
        <v>719</v>
      </c>
      <c r="B31" s="396" t="s">
        <v>725</v>
      </c>
      <c r="C31" s="385">
        <v>66</v>
      </c>
      <c r="D31" s="385">
        <v>40</v>
      </c>
      <c r="E31" s="368">
        <v>25</v>
      </c>
    </row>
    <row r="32" spans="1:5" s="394" customFormat="1" ht="12" customHeight="1">
      <c r="A32" s="525" t="s">
        <v>720</v>
      </c>
      <c r="B32" s="396" t="s">
        <v>736</v>
      </c>
      <c r="C32" s="385">
        <v>15011</v>
      </c>
      <c r="D32" s="385">
        <v>13500</v>
      </c>
      <c r="E32" s="368">
        <v>13427</v>
      </c>
    </row>
    <row r="33" spans="1:5" s="394" customFormat="1" ht="12" customHeight="1" thickBot="1">
      <c r="A33" s="526" t="s">
        <v>721</v>
      </c>
      <c r="B33" s="376" t="s">
        <v>326</v>
      </c>
      <c r="C33" s="387">
        <f>14417+5352</f>
        <v>19769</v>
      </c>
      <c r="D33" s="387">
        <v>15218</v>
      </c>
      <c r="E33" s="370">
        <v>17511</v>
      </c>
    </row>
    <row r="34" spans="1:5" s="394" customFormat="1" ht="12" customHeight="1" thickBot="1">
      <c r="A34" s="352" t="s">
        <v>11</v>
      </c>
      <c r="B34" s="589" t="s">
        <v>327</v>
      </c>
      <c r="C34" s="384">
        <f>SUM(C35:C44)</f>
        <v>148982</v>
      </c>
      <c r="D34" s="384">
        <f>SUM(D35:D44)</f>
        <v>128783</v>
      </c>
      <c r="E34" s="367">
        <f>SUM(E35:E44)</f>
        <v>133254</v>
      </c>
    </row>
    <row r="35" spans="1:5" s="394" customFormat="1" ht="12" customHeight="1">
      <c r="A35" s="347" t="s">
        <v>64</v>
      </c>
      <c r="B35" s="590" t="s">
        <v>328</v>
      </c>
      <c r="C35" s="386">
        <v>9763</v>
      </c>
      <c r="D35" s="386">
        <v>15820</v>
      </c>
      <c r="E35" s="369">
        <v>9371</v>
      </c>
    </row>
    <row r="36" spans="1:5" s="394" customFormat="1" ht="12" customHeight="1">
      <c r="A36" s="346" t="s">
        <v>65</v>
      </c>
      <c r="B36" s="591" t="s">
        <v>329</v>
      </c>
      <c r="C36" s="385">
        <v>62983</v>
      </c>
      <c r="D36" s="385">
        <v>43654</v>
      </c>
      <c r="E36" s="368">
        <v>49507</v>
      </c>
    </row>
    <row r="37" spans="1:5" s="394" customFormat="1" ht="12" customHeight="1">
      <c r="A37" s="346" t="s">
        <v>66</v>
      </c>
      <c r="B37" s="591" t="s">
        <v>330</v>
      </c>
      <c r="C37" s="385">
        <v>1752</v>
      </c>
      <c r="D37" s="385">
        <v>1890</v>
      </c>
      <c r="E37" s="368">
        <v>1766</v>
      </c>
    </row>
    <row r="38" spans="1:5" s="394" customFormat="1" ht="12" customHeight="1">
      <c r="A38" s="346" t="s">
        <v>125</v>
      </c>
      <c r="B38" s="591" t="s">
        <v>331</v>
      </c>
      <c r="C38" s="385">
        <v>3168</v>
      </c>
      <c r="D38" s="385">
        <v>3500</v>
      </c>
      <c r="E38" s="368"/>
    </row>
    <row r="39" spans="1:5" s="394" customFormat="1" ht="12" customHeight="1">
      <c r="A39" s="346" t="s">
        <v>126</v>
      </c>
      <c r="B39" s="591" t="s">
        <v>332</v>
      </c>
      <c r="C39" s="385">
        <v>35021</v>
      </c>
      <c r="D39" s="385">
        <v>32226</v>
      </c>
      <c r="E39" s="368">
        <v>31941</v>
      </c>
    </row>
    <row r="40" spans="1:5" s="394" customFormat="1" ht="12" customHeight="1">
      <c r="A40" s="346" t="s">
        <v>127</v>
      </c>
      <c r="B40" s="591" t="s">
        <v>333</v>
      </c>
      <c r="C40" s="385">
        <v>34275</v>
      </c>
      <c r="D40" s="385">
        <v>28743</v>
      </c>
      <c r="E40" s="368">
        <v>24346</v>
      </c>
    </row>
    <row r="41" spans="1:5" s="394" customFormat="1" ht="12" customHeight="1">
      <c r="A41" s="346" t="s">
        <v>128</v>
      </c>
      <c r="B41" s="591" t="s">
        <v>334</v>
      </c>
      <c r="C41" s="385">
        <v>1397</v>
      </c>
      <c r="D41" s="385">
        <v>2775</v>
      </c>
      <c r="E41" s="368">
        <v>2775</v>
      </c>
    </row>
    <row r="42" spans="1:5" s="394" customFormat="1" ht="12" customHeight="1">
      <c r="A42" s="346" t="s">
        <v>129</v>
      </c>
      <c r="B42" s="591" t="s">
        <v>335</v>
      </c>
      <c r="C42" s="385">
        <v>7</v>
      </c>
      <c r="D42" s="385">
        <v>1</v>
      </c>
      <c r="E42" s="368">
        <v>10</v>
      </c>
    </row>
    <row r="43" spans="1:5" s="394" customFormat="1" ht="12" customHeight="1">
      <c r="A43" s="346" t="s">
        <v>336</v>
      </c>
      <c r="B43" s="591" t="s">
        <v>337</v>
      </c>
      <c r="C43" s="388"/>
      <c r="D43" s="388"/>
      <c r="E43" s="371"/>
    </row>
    <row r="44" spans="1:5" s="394" customFormat="1" ht="12" customHeight="1" thickBot="1">
      <c r="A44" s="348" t="s">
        <v>338</v>
      </c>
      <c r="B44" s="592" t="s">
        <v>339</v>
      </c>
      <c r="C44" s="389">
        <v>616</v>
      </c>
      <c r="D44" s="389">
        <v>174</v>
      </c>
      <c r="E44" s="372">
        <v>13538</v>
      </c>
    </row>
    <row r="45" spans="1:5" s="394" customFormat="1" ht="12" customHeight="1" thickBot="1">
      <c r="A45" s="352" t="s">
        <v>12</v>
      </c>
      <c r="B45" s="589" t="s">
        <v>340</v>
      </c>
      <c r="C45" s="384">
        <f>SUM(C46:C50)</f>
        <v>76555</v>
      </c>
      <c r="D45" s="384">
        <f>SUM(D46:D50)</f>
        <v>36474</v>
      </c>
      <c r="E45" s="367">
        <f>SUM(E46:E50)</f>
        <v>29622</v>
      </c>
    </row>
    <row r="46" spans="1:5" s="394" customFormat="1" ht="12" customHeight="1">
      <c r="A46" s="347" t="s">
        <v>67</v>
      </c>
      <c r="B46" s="590" t="s">
        <v>341</v>
      </c>
      <c r="C46" s="405"/>
      <c r="D46" s="405"/>
      <c r="E46" s="373"/>
    </row>
    <row r="47" spans="1:5" s="394" customFormat="1" ht="12" customHeight="1">
      <c r="A47" s="346" t="s">
        <v>68</v>
      </c>
      <c r="B47" s="591" t="s">
        <v>342</v>
      </c>
      <c r="C47" s="388">
        <v>76555</v>
      </c>
      <c r="D47" s="388">
        <v>32978</v>
      </c>
      <c r="E47" s="371">
        <v>28121</v>
      </c>
    </row>
    <row r="48" spans="1:5" s="394" customFormat="1" ht="12" customHeight="1">
      <c r="A48" s="346" t="s">
        <v>343</v>
      </c>
      <c r="B48" s="591" t="s">
        <v>344</v>
      </c>
      <c r="C48" s="388"/>
      <c r="D48" s="388">
        <v>3496</v>
      </c>
      <c r="E48" s="371">
        <v>1501</v>
      </c>
    </row>
    <row r="49" spans="1:5" s="394" customFormat="1" ht="12" customHeight="1">
      <c r="A49" s="346" t="s">
        <v>345</v>
      </c>
      <c r="B49" s="591" t="s">
        <v>346</v>
      </c>
      <c r="C49" s="388"/>
      <c r="D49" s="388"/>
      <c r="E49" s="371"/>
    </row>
    <row r="50" spans="1:5" s="394" customFormat="1" ht="12" customHeight="1" thickBot="1">
      <c r="A50" s="348" t="s">
        <v>347</v>
      </c>
      <c r="B50" s="592" t="s">
        <v>348</v>
      </c>
      <c r="C50" s="389"/>
      <c r="D50" s="389"/>
      <c r="E50" s="372"/>
    </row>
    <row r="51" spans="1:5" s="394" customFormat="1" ht="13.5" thickBot="1">
      <c r="A51" s="352" t="s">
        <v>130</v>
      </c>
      <c r="B51" s="589" t="s">
        <v>349</v>
      </c>
      <c r="C51" s="384">
        <f>SUM(C52:C54)</f>
        <v>10941</v>
      </c>
      <c r="D51" s="384">
        <f>SUM(D52:D54)</f>
        <v>0</v>
      </c>
      <c r="E51" s="367">
        <f>SUM(E52:E54)</f>
        <v>3031</v>
      </c>
    </row>
    <row r="52" spans="1:5" s="394" customFormat="1" ht="12.75">
      <c r="A52" s="347" t="s">
        <v>69</v>
      </c>
      <c r="B52" s="590" t="s">
        <v>350</v>
      </c>
      <c r="C52" s="386"/>
      <c r="D52" s="386"/>
      <c r="E52" s="369"/>
    </row>
    <row r="53" spans="1:5" s="394" customFormat="1" ht="14.25" customHeight="1">
      <c r="A53" s="346" t="s">
        <v>70</v>
      </c>
      <c r="B53" s="591" t="s">
        <v>569</v>
      </c>
      <c r="C53" s="385">
        <v>9034</v>
      </c>
      <c r="D53" s="385"/>
      <c r="E53" s="368"/>
    </row>
    <row r="54" spans="1:5" s="394" customFormat="1" ht="12.75">
      <c r="A54" s="346" t="s">
        <v>352</v>
      </c>
      <c r="B54" s="591" t="s">
        <v>353</v>
      </c>
      <c r="C54" s="385">
        <v>1907</v>
      </c>
      <c r="D54" s="385"/>
      <c r="E54" s="368">
        <v>3031</v>
      </c>
    </row>
    <row r="55" spans="1:5" s="394" customFormat="1" ht="13.5" thickBot="1">
      <c r="A55" s="348" t="s">
        <v>354</v>
      </c>
      <c r="B55" s="592" t="s">
        <v>355</v>
      </c>
      <c r="C55" s="387"/>
      <c r="D55" s="387"/>
      <c r="E55" s="370"/>
    </row>
    <row r="56" spans="1:5" s="394" customFormat="1" ht="13.5" thickBot="1">
      <c r="A56" s="352" t="s">
        <v>14</v>
      </c>
      <c r="B56" s="593" t="s">
        <v>356</v>
      </c>
      <c r="C56" s="384">
        <f>SUM(C57:C59)</f>
        <v>3722</v>
      </c>
      <c r="D56" s="384">
        <f>SUM(D57:D59)</f>
        <v>17810</v>
      </c>
      <c r="E56" s="367">
        <f>SUM(E57:E59)</f>
        <v>0</v>
      </c>
    </row>
    <row r="57" spans="1:5" s="394" customFormat="1" ht="12.75">
      <c r="A57" s="346" t="s">
        <v>131</v>
      </c>
      <c r="B57" s="590" t="s">
        <v>357</v>
      </c>
      <c r="C57" s="388"/>
      <c r="D57" s="388"/>
      <c r="E57" s="371"/>
    </row>
    <row r="58" spans="1:5" s="394" customFormat="1" ht="12.75" customHeight="1">
      <c r="A58" s="346" t="s">
        <v>132</v>
      </c>
      <c r="B58" s="591" t="s">
        <v>570</v>
      </c>
      <c r="C58" s="388">
        <v>3464</v>
      </c>
      <c r="D58" s="388">
        <v>810</v>
      </c>
      <c r="E58" s="371"/>
    </row>
    <row r="59" spans="1:5" s="394" customFormat="1" ht="12.75">
      <c r="A59" s="346" t="s">
        <v>157</v>
      </c>
      <c r="B59" s="591" t="s">
        <v>359</v>
      </c>
      <c r="C59" s="388">
        <v>258</v>
      </c>
      <c r="D59" s="388">
        <v>17000</v>
      </c>
      <c r="E59" s="371"/>
    </row>
    <row r="60" spans="1:5" s="394" customFormat="1" ht="13.5" thickBot="1">
      <c r="A60" s="346" t="s">
        <v>360</v>
      </c>
      <c r="B60" s="592" t="s">
        <v>361</v>
      </c>
      <c r="C60" s="388"/>
      <c r="D60" s="388"/>
      <c r="E60" s="371"/>
    </row>
    <row r="61" spans="1:5" s="394" customFormat="1" ht="13.5" thickBot="1">
      <c r="A61" s="352" t="s">
        <v>15</v>
      </c>
      <c r="B61" s="589" t="s">
        <v>362</v>
      </c>
      <c r="C61" s="390">
        <f>+C6+C13+C20+C27+C34+C45+C51+C56</f>
        <v>1821522</v>
      </c>
      <c r="D61" s="390">
        <f>+D6+D13+D20+D27+D34+D45+D51+D56</f>
        <v>1195256</v>
      </c>
      <c r="E61" s="403">
        <f>+E6+E13+E20+E27+E34+E45+E51+E56</f>
        <v>1245454</v>
      </c>
    </row>
    <row r="62" spans="1:5" s="394" customFormat="1" ht="13.5" thickBot="1">
      <c r="A62" s="406" t="s">
        <v>363</v>
      </c>
      <c r="B62" s="593" t="s">
        <v>680</v>
      </c>
      <c r="C62" s="384">
        <f>SUM(C63:C65)</f>
        <v>42886</v>
      </c>
      <c r="D62" s="384">
        <f>SUM(D63:D65)</f>
        <v>20000</v>
      </c>
      <c r="E62" s="367">
        <f>SUM(E63:E65)</f>
        <v>0</v>
      </c>
    </row>
    <row r="63" spans="1:5" s="394" customFormat="1" ht="12.75">
      <c r="A63" s="346" t="s">
        <v>365</v>
      </c>
      <c r="B63" s="590" t="s">
        <v>366</v>
      </c>
      <c r="C63" s="388">
        <v>42886</v>
      </c>
      <c r="D63" s="388">
        <v>20000</v>
      </c>
      <c r="E63" s="371"/>
    </row>
    <row r="64" spans="1:5" s="394" customFormat="1" ht="12.75">
      <c r="A64" s="346" t="s">
        <v>367</v>
      </c>
      <c r="B64" s="591" t="s">
        <v>368</v>
      </c>
      <c r="C64" s="388"/>
      <c r="D64" s="388"/>
      <c r="E64" s="371"/>
    </row>
    <row r="65" spans="1:5" s="394" customFormat="1" ht="13.5" thickBot="1">
      <c r="A65" s="346" t="s">
        <v>369</v>
      </c>
      <c r="B65" s="332" t="s">
        <v>414</v>
      </c>
      <c r="C65" s="388"/>
      <c r="D65" s="388"/>
      <c r="E65" s="371"/>
    </row>
    <row r="66" spans="1:5" s="394" customFormat="1" ht="13.5" thickBot="1">
      <c r="A66" s="406" t="s">
        <v>371</v>
      </c>
      <c r="B66" s="593" t="s">
        <v>372</v>
      </c>
      <c r="C66" s="384">
        <f>SUM(C67:C70)</f>
        <v>0</v>
      </c>
      <c r="D66" s="384">
        <f>SUM(D67:D70)</f>
        <v>0</v>
      </c>
      <c r="E66" s="367">
        <f>SUM(E67:E70)</f>
        <v>0</v>
      </c>
    </row>
    <row r="67" spans="1:5" s="394" customFormat="1" ht="12.75">
      <c r="A67" s="346" t="s">
        <v>108</v>
      </c>
      <c r="B67" s="590" t="s">
        <v>373</v>
      </c>
      <c r="C67" s="388"/>
      <c r="D67" s="388"/>
      <c r="E67" s="371"/>
    </row>
    <row r="68" spans="1:5" s="394" customFormat="1" ht="12.75">
      <c r="A68" s="346" t="s">
        <v>109</v>
      </c>
      <c r="B68" s="591" t="s">
        <v>374</v>
      </c>
      <c r="C68" s="388"/>
      <c r="D68" s="388"/>
      <c r="E68" s="371"/>
    </row>
    <row r="69" spans="1:5" s="394" customFormat="1" ht="12" customHeight="1">
      <c r="A69" s="346" t="s">
        <v>375</v>
      </c>
      <c r="B69" s="591" t="s">
        <v>376</v>
      </c>
      <c r="C69" s="388"/>
      <c r="D69" s="388"/>
      <c r="E69" s="371"/>
    </row>
    <row r="70" spans="1:5" s="394" customFormat="1" ht="12" customHeight="1" thickBot="1">
      <c r="A70" s="346" t="s">
        <v>377</v>
      </c>
      <c r="B70" s="592" t="s">
        <v>378</v>
      </c>
      <c r="C70" s="388"/>
      <c r="D70" s="388"/>
      <c r="E70" s="371"/>
    </row>
    <row r="71" spans="1:5" s="394" customFormat="1" ht="12" customHeight="1" thickBot="1">
      <c r="A71" s="406" t="s">
        <v>379</v>
      </c>
      <c r="B71" s="593" t="s">
        <v>380</v>
      </c>
      <c r="C71" s="384">
        <f>SUM(C72:C73)</f>
        <v>31344</v>
      </c>
      <c r="D71" s="384">
        <f>SUM(D72:D73)</f>
        <v>145745</v>
      </c>
      <c r="E71" s="367">
        <f>SUM(E72:E73)</f>
        <v>145745</v>
      </c>
    </row>
    <row r="72" spans="1:5" s="394" customFormat="1" ht="12" customHeight="1">
      <c r="A72" s="346" t="s">
        <v>381</v>
      </c>
      <c r="B72" s="590" t="s">
        <v>382</v>
      </c>
      <c r="C72" s="388">
        <v>31344</v>
      </c>
      <c r="D72" s="388">
        <v>145162</v>
      </c>
      <c r="E72" s="371">
        <v>145162</v>
      </c>
    </row>
    <row r="73" spans="1:5" s="394" customFormat="1" ht="12" customHeight="1" thickBot="1">
      <c r="A73" s="346" t="s">
        <v>383</v>
      </c>
      <c r="B73" s="592" t="s">
        <v>384</v>
      </c>
      <c r="C73" s="388"/>
      <c r="D73" s="388">
        <v>583</v>
      </c>
      <c r="E73" s="371">
        <v>583</v>
      </c>
    </row>
    <row r="74" spans="1:5" s="394" customFormat="1" ht="12" customHeight="1" thickBot="1">
      <c r="A74" s="406" t="s">
        <v>385</v>
      </c>
      <c r="B74" s="593" t="s">
        <v>386</v>
      </c>
      <c r="C74" s="384">
        <f>SUM(C75:C77)</f>
        <v>16664</v>
      </c>
      <c r="D74" s="384">
        <f>SUM(D75:D77)</f>
        <v>0</v>
      </c>
      <c r="E74" s="367">
        <f>SUM(E75:E77)</f>
        <v>18143</v>
      </c>
    </row>
    <row r="75" spans="1:5" s="394" customFormat="1" ht="12" customHeight="1">
      <c r="A75" s="346" t="s">
        <v>387</v>
      </c>
      <c r="B75" s="590" t="s">
        <v>388</v>
      </c>
      <c r="C75" s="388">
        <v>16664</v>
      </c>
      <c r="D75" s="388"/>
      <c r="E75" s="371">
        <v>18143</v>
      </c>
    </row>
    <row r="76" spans="1:5" s="394" customFormat="1" ht="12" customHeight="1">
      <c r="A76" s="346" t="s">
        <v>389</v>
      </c>
      <c r="B76" s="591" t="s">
        <v>390</v>
      </c>
      <c r="C76" s="388"/>
      <c r="D76" s="388"/>
      <c r="E76" s="371"/>
    </row>
    <row r="77" spans="1:5" s="394" customFormat="1" ht="12" customHeight="1" thickBot="1">
      <c r="A77" s="346" t="s">
        <v>391</v>
      </c>
      <c r="B77" s="592" t="s">
        <v>392</v>
      </c>
      <c r="C77" s="388"/>
      <c r="D77" s="388"/>
      <c r="E77" s="371"/>
    </row>
    <row r="78" spans="1:5" s="394" customFormat="1" ht="12" customHeight="1" thickBot="1">
      <c r="A78" s="406" t="s">
        <v>393</v>
      </c>
      <c r="B78" s="593" t="s">
        <v>394</v>
      </c>
      <c r="C78" s="384">
        <f>SUM(C79:C82)</f>
        <v>0</v>
      </c>
      <c r="D78" s="384">
        <f>SUM(D79:D82)</f>
        <v>0</v>
      </c>
      <c r="E78" s="367">
        <f>SUM(E79:E82)</f>
        <v>0</v>
      </c>
    </row>
    <row r="79" spans="1:5" s="394" customFormat="1" ht="12" customHeight="1">
      <c r="A79" s="577" t="s">
        <v>395</v>
      </c>
      <c r="B79" s="590" t="s">
        <v>396</v>
      </c>
      <c r="C79" s="388"/>
      <c r="D79" s="388"/>
      <c r="E79" s="371"/>
    </row>
    <row r="80" spans="1:5" s="394" customFormat="1" ht="12" customHeight="1">
      <c r="A80" s="578" t="s">
        <v>397</v>
      </c>
      <c r="B80" s="591" t="s">
        <v>398</v>
      </c>
      <c r="C80" s="388"/>
      <c r="D80" s="388"/>
      <c r="E80" s="371"/>
    </row>
    <row r="81" spans="1:5" s="394" customFormat="1" ht="12" customHeight="1">
      <c r="A81" s="578" t="s">
        <v>399</v>
      </c>
      <c r="B81" s="591" t="s">
        <v>400</v>
      </c>
      <c r="C81" s="388"/>
      <c r="D81" s="388"/>
      <c r="E81" s="371"/>
    </row>
    <row r="82" spans="1:5" s="394" customFormat="1" ht="12" customHeight="1" thickBot="1">
      <c r="A82" s="407" t="s">
        <v>401</v>
      </c>
      <c r="B82" s="592" t="s">
        <v>402</v>
      </c>
      <c r="C82" s="388"/>
      <c r="D82" s="388"/>
      <c r="E82" s="371"/>
    </row>
    <row r="83" spans="1:5" s="394" customFormat="1" ht="12" customHeight="1" thickBot="1">
      <c r="A83" s="406" t="s">
        <v>403</v>
      </c>
      <c r="B83" s="593" t="s">
        <v>404</v>
      </c>
      <c r="C83" s="409"/>
      <c r="D83" s="409"/>
      <c r="E83" s="410"/>
    </row>
    <row r="84" spans="1:5" s="394" customFormat="1" ht="13.5" customHeight="1" thickBot="1">
      <c r="A84" s="406" t="s">
        <v>405</v>
      </c>
      <c r="B84" s="330" t="s">
        <v>406</v>
      </c>
      <c r="C84" s="390">
        <f>+C62+C66+C71+C74+C78+C83</f>
        <v>90894</v>
      </c>
      <c r="D84" s="390">
        <f>+D62+D66+D71+D74+D78+D83</f>
        <v>165745</v>
      </c>
      <c r="E84" s="403">
        <f>+E62+E66+E71+E74+E78+E83</f>
        <v>163888</v>
      </c>
    </row>
    <row r="85" spans="1:5" s="394" customFormat="1" ht="12" customHeight="1" thickBot="1">
      <c r="A85" s="408" t="s">
        <v>407</v>
      </c>
      <c r="B85" s="333" t="s">
        <v>408</v>
      </c>
      <c r="C85" s="390">
        <f>+C61+C84</f>
        <v>1912416</v>
      </c>
      <c r="D85" s="390">
        <f>+D61+D84</f>
        <v>1361001</v>
      </c>
      <c r="E85" s="403">
        <f>+E61+E84</f>
        <v>1409342</v>
      </c>
    </row>
    <row r="86" spans="1:5" ht="16.5" customHeight="1">
      <c r="A86" s="823" t="s">
        <v>36</v>
      </c>
      <c r="B86" s="823"/>
      <c r="C86" s="823"/>
      <c r="D86" s="823"/>
      <c r="E86" s="823"/>
    </row>
    <row r="87" spans="1:5" s="400" customFormat="1" ht="16.5" customHeight="1" thickBot="1">
      <c r="A87" s="46" t="s">
        <v>112</v>
      </c>
      <c r="B87" s="46"/>
      <c r="C87" s="46"/>
      <c r="D87" s="361"/>
      <c r="E87" s="361" t="s">
        <v>156</v>
      </c>
    </row>
    <row r="88" spans="1:5" s="400" customFormat="1" ht="16.5" customHeight="1">
      <c r="A88" s="824" t="s">
        <v>59</v>
      </c>
      <c r="B88" s="826" t="s">
        <v>177</v>
      </c>
      <c r="C88" s="924" t="str">
        <f>+C3</f>
        <v>2015. évi tény</v>
      </c>
      <c r="D88" s="828" t="str">
        <f>+D3</f>
        <v>2016. évi</v>
      </c>
      <c r="E88" s="829"/>
    </row>
    <row r="89" spans="1:5" ht="38.1" customHeight="1" thickBot="1">
      <c r="A89" s="825"/>
      <c r="B89" s="827"/>
      <c r="C89" s="925"/>
      <c r="D89" s="47" t="s">
        <v>183</v>
      </c>
      <c r="E89" s="48" t="s">
        <v>184</v>
      </c>
    </row>
    <row r="90" spans="1:5" s="393" customFormat="1" ht="12" customHeight="1" thickBot="1">
      <c r="A90" s="357" t="s">
        <v>409</v>
      </c>
      <c r="B90" s="358" t="s">
        <v>410</v>
      </c>
      <c r="C90" s="358" t="s">
        <v>411</v>
      </c>
      <c r="D90" s="358" t="s">
        <v>413</v>
      </c>
      <c r="E90" s="404" t="s">
        <v>490</v>
      </c>
    </row>
    <row r="91" spans="1:5" ht="12" customHeight="1" thickBot="1">
      <c r="A91" s="354" t="s">
        <v>7</v>
      </c>
      <c r="B91" s="356" t="s">
        <v>571</v>
      </c>
      <c r="C91" s="383">
        <f>SUM(C92:C96)</f>
        <v>1252091</v>
      </c>
      <c r="D91" s="383">
        <f>+D92+D93+D94+D95+D96</f>
        <v>1162587</v>
      </c>
      <c r="E91" s="338">
        <f>+E92+E93+E94+E95+E96</f>
        <v>1067189</v>
      </c>
    </row>
    <row r="92" spans="1:5" ht="12" customHeight="1">
      <c r="A92" s="349" t="s">
        <v>71</v>
      </c>
      <c r="B92" s="594" t="s">
        <v>37</v>
      </c>
      <c r="C92" s="98">
        <v>515696</v>
      </c>
      <c r="D92" s="98">
        <v>529305</v>
      </c>
      <c r="E92" s="337">
        <v>512057</v>
      </c>
    </row>
    <row r="93" spans="1:5" ht="12" customHeight="1">
      <c r="A93" s="346" t="s">
        <v>72</v>
      </c>
      <c r="B93" s="595" t="s">
        <v>133</v>
      </c>
      <c r="C93" s="385">
        <v>106046</v>
      </c>
      <c r="D93" s="385">
        <v>110125</v>
      </c>
      <c r="E93" s="368">
        <v>105114</v>
      </c>
    </row>
    <row r="94" spans="1:5" ht="12" customHeight="1">
      <c r="A94" s="346" t="s">
        <v>73</v>
      </c>
      <c r="B94" s="595" t="s">
        <v>100</v>
      </c>
      <c r="C94" s="387">
        <v>496974</v>
      </c>
      <c r="D94" s="387">
        <v>440820</v>
      </c>
      <c r="E94" s="370">
        <v>382243</v>
      </c>
    </row>
    <row r="95" spans="1:5" ht="12" customHeight="1">
      <c r="A95" s="346" t="s">
        <v>74</v>
      </c>
      <c r="B95" s="596" t="s">
        <v>134</v>
      </c>
      <c r="C95" s="387">
        <v>60631</v>
      </c>
      <c r="D95" s="387">
        <v>16737</v>
      </c>
      <c r="E95" s="370">
        <v>16670</v>
      </c>
    </row>
    <row r="96" spans="1:5" ht="12" customHeight="1">
      <c r="A96" s="346" t="s">
        <v>83</v>
      </c>
      <c r="B96" s="597" t="s">
        <v>135</v>
      </c>
      <c r="C96" s="387">
        <v>72744</v>
      </c>
      <c r="D96" s="387">
        <v>65600</v>
      </c>
      <c r="E96" s="370">
        <v>51105</v>
      </c>
    </row>
    <row r="97" spans="1:5" ht="12" customHeight="1">
      <c r="A97" s="346" t="s">
        <v>75</v>
      </c>
      <c r="B97" s="595" t="s">
        <v>416</v>
      </c>
      <c r="C97" s="387">
        <v>1712</v>
      </c>
      <c r="D97" s="387"/>
      <c r="E97" s="370"/>
    </row>
    <row r="98" spans="1:5" ht="12" customHeight="1">
      <c r="A98" s="346" t="s">
        <v>76</v>
      </c>
      <c r="B98" s="598" t="s">
        <v>417</v>
      </c>
      <c r="C98" s="387"/>
      <c r="D98" s="387"/>
      <c r="E98" s="370"/>
    </row>
    <row r="99" spans="1:5" ht="12" customHeight="1">
      <c r="A99" s="346" t="s">
        <v>84</v>
      </c>
      <c r="B99" s="595" t="s">
        <v>418</v>
      </c>
      <c r="C99" s="387"/>
      <c r="D99" s="387"/>
      <c r="E99" s="370"/>
    </row>
    <row r="100" spans="1:5" ht="12" customHeight="1">
      <c r="A100" s="346" t="s">
        <v>85</v>
      </c>
      <c r="B100" s="595" t="s">
        <v>419</v>
      </c>
      <c r="C100" s="387"/>
      <c r="D100" s="387"/>
      <c r="E100" s="370"/>
    </row>
    <row r="101" spans="1:5" ht="12" customHeight="1">
      <c r="A101" s="346" t="s">
        <v>86</v>
      </c>
      <c r="B101" s="598" t="s">
        <v>420</v>
      </c>
      <c r="C101" s="387">
        <v>27630</v>
      </c>
      <c r="D101" s="387">
        <v>48701</v>
      </c>
      <c r="E101" s="370"/>
    </row>
    <row r="102" spans="1:5" ht="12" customHeight="1">
      <c r="A102" s="346" t="s">
        <v>87</v>
      </c>
      <c r="B102" s="598" t="s">
        <v>421</v>
      </c>
      <c r="C102" s="387"/>
      <c r="D102" s="387"/>
      <c r="E102" s="370"/>
    </row>
    <row r="103" spans="1:5" ht="12" customHeight="1">
      <c r="A103" s="346" t="s">
        <v>89</v>
      </c>
      <c r="B103" s="595" t="s">
        <v>422</v>
      </c>
      <c r="C103" s="387">
        <v>7379</v>
      </c>
      <c r="D103" s="387">
        <v>16600</v>
      </c>
      <c r="E103" s="370"/>
    </row>
    <row r="104" spans="1:5" ht="12" customHeight="1">
      <c r="A104" s="345" t="s">
        <v>136</v>
      </c>
      <c r="B104" s="599" t="s">
        <v>423</v>
      </c>
      <c r="C104" s="387"/>
      <c r="D104" s="387"/>
      <c r="E104" s="370"/>
    </row>
    <row r="105" spans="1:5" ht="12" customHeight="1">
      <c r="A105" s="346" t="s">
        <v>424</v>
      </c>
      <c r="B105" s="599" t="s">
        <v>425</v>
      </c>
      <c r="C105" s="387"/>
      <c r="D105" s="387"/>
      <c r="E105" s="370"/>
    </row>
    <row r="106" spans="1:5" ht="12" customHeight="1" thickBot="1">
      <c r="A106" s="350" t="s">
        <v>426</v>
      </c>
      <c r="B106" s="600" t="s">
        <v>427</v>
      </c>
      <c r="C106" s="99">
        <v>36023</v>
      </c>
      <c r="D106" s="99"/>
      <c r="E106" s="331"/>
    </row>
    <row r="107" spans="1:5" ht="12" customHeight="1" thickBot="1">
      <c r="A107" s="352" t="s">
        <v>8</v>
      </c>
      <c r="B107" s="355" t="s">
        <v>572</v>
      </c>
      <c r="C107" s="384">
        <f>+C108+C110+C112</f>
        <v>498450</v>
      </c>
      <c r="D107" s="384">
        <f>+D108+D110+D112</f>
        <v>164217</v>
      </c>
      <c r="E107" s="367">
        <f>+E108+E110+E112</f>
        <v>141254</v>
      </c>
    </row>
    <row r="108" spans="1:5" ht="12" customHeight="1">
      <c r="A108" s="347" t="s">
        <v>77</v>
      </c>
      <c r="B108" s="595" t="s">
        <v>155</v>
      </c>
      <c r="C108" s="386">
        <v>262102</v>
      </c>
      <c r="D108" s="386">
        <v>124624</v>
      </c>
      <c r="E108" s="369">
        <v>103983</v>
      </c>
    </row>
    <row r="109" spans="1:5" ht="12" customHeight="1">
      <c r="A109" s="347" t="s">
        <v>78</v>
      </c>
      <c r="B109" s="599" t="s">
        <v>429</v>
      </c>
      <c r="C109" s="386"/>
      <c r="D109" s="386"/>
      <c r="E109" s="369"/>
    </row>
    <row r="110" spans="1:5">
      <c r="A110" s="347" t="s">
        <v>79</v>
      </c>
      <c r="B110" s="599" t="s">
        <v>137</v>
      </c>
      <c r="C110" s="385">
        <v>233648</v>
      </c>
      <c r="D110" s="385">
        <v>39593</v>
      </c>
      <c r="E110" s="368">
        <v>37271</v>
      </c>
    </row>
    <row r="111" spans="1:5" ht="12" customHeight="1">
      <c r="A111" s="347" t="s">
        <v>80</v>
      </c>
      <c r="B111" s="599" t="s">
        <v>430</v>
      </c>
      <c r="C111" s="385"/>
      <c r="D111" s="385"/>
      <c r="E111" s="368"/>
    </row>
    <row r="112" spans="1:5" ht="12" customHeight="1">
      <c r="A112" s="347" t="s">
        <v>81</v>
      </c>
      <c r="B112" s="592" t="s">
        <v>158</v>
      </c>
      <c r="C112" s="385">
        <v>2700</v>
      </c>
      <c r="D112" s="385"/>
      <c r="E112" s="368"/>
    </row>
    <row r="113" spans="1:5">
      <c r="A113" s="347" t="s">
        <v>88</v>
      </c>
      <c r="B113" s="591" t="s">
        <v>431</v>
      </c>
      <c r="C113" s="385"/>
      <c r="D113" s="385"/>
      <c r="E113" s="368"/>
    </row>
    <row r="114" spans="1:5">
      <c r="A114" s="347" t="s">
        <v>90</v>
      </c>
      <c r="B114" s="601" t="s">
        <v>432</v>
      </c>
      <c r="C114" s="385"/>
      <c r="D114" s="385"/>
      <c r="E114" s="368"/>
    </row>
    <row r="115" spans="1:5" ht="12" customHeight="1">
      <c r="A115" s="347" t="s">
        <v>138</v>
      </c>
      <c r="B115" s="595" t="s">
        <v>419</v>
      </c>
      <c r="C115" s="385"/>
      <c r="D115" s="385"/>
      <c r="E115" s="368"/>
    </row>
    <row r="116" spans="1:5" ht="12" customHeight="1">
      <c r="A116" s="347" t="s">
        <v>139</v>
      </c>
      <c r="B116" s="595" t="s">
        <v>433</v>
      </c>
      <c r="C116" s="385"/>
      <c r="D116" s="385"/>
      <c r="E116" s="368"/>
    </row>
    <row r="117" spans="1:5" ht="12" customHeight="1">
      <c r="A117" s="347" t="s">
        <v>140</v>
      </c>
      <c r="B117" s="595" t="s">
        <v>434</v>
      </c>
      <c r="C117" s="385"/>
      <c r="D117" s="385"/>
      <c r="E117" s="368"/>
    </row>
    <row r="118" spans="1:5" s="411" customFormat="1" ht="12" customHeight="1">
      <c r="A118" s="347" t="s">
        <v>435</v>
      </c>
      <c r="B118" s="595" t="s">
        <v>422</v>
      </c>
      <c r="C118" s="385"/>
      <c r="D118" s="385"/>
      <c r="E118" s="368"/>
    </row>
    <row r="119" spans="1:5" ht="12" customHeight="1">
      <c r="A119" s="347" t="s">
        <v>436</v>
      </c>
      <c r="B119" s="595" t="s">
        <v>437</v>
      </c>
      <c r="C119" s="385"/>
      <c r="D119" s="385"/>
      <c r="E119" s="368"/>
    </row>
    <row r="120" spans="1:5" ht="12" customHeight="1" thickBot="1">
      <c r="A120" s="345" t="s">
        <v>438</v>
      </c>
      <c r="B120" s="595" t="s">
        <v>439</v>
      </c>
      <c r="C120" s="387">
        <v>2700</v>
      </c>
      <c r="D120" s="387"/>
      <c r="E120" s="370"/>
    </row>
    <row r="121" spans="1:5" ht="12" customHeight="1" thickBot="1">
      <c r="A121" s="352" t="s">
        <v>9</v>
      </c>
      <c r="B121" s="571" t="s">
        <v>440</v>
      </c>
      <c r="C121" s="384">
        <f>+C122+C123</f>
        <v>0</v>
      </c>
      <c r="D121" s="384">
        <f>+D122+D123</f>
        <v>15000</v>
      </c>
      <c r="E121" s="367">
        <f>+E122+E123</f>
        <v>0</v>
      </c>
    </row>
    <row r="122" spans="1:5" ht="12" customHeight="1">
      <c r="A122" s="347" t="s">
        <v>60</v>
      </c>
      <c r="B122" s="601" t="s">
        <v>45</v>
      </c>
      <c r="C122" s="386"/>
      <c r="D122" s="386"/>
      <c r="E122" s="369"/>
    </row>
    <row r="123" spans="1:5" ht="12" customHeight="1" thickBot="1">
      <c r="A123" s="348" t="s">
        <v>61</v>
      </c>
      <c r="B123" s="599" t="s">
        <v>46</v>
      </c>
      <c r="C123" s="387"/>
      <c r="D123" s="387">
        <v>15000</v>
      </c>
      <c r="E123" s="370"/>
    </row>
    <row r="124" spans="1:5" ht="12" customHeight="1" thickBot="1">
      <c r="A124" s="352" t="s">
        <v>10</v>
      </c>
      <c r="B124" s="571" t="s">
        <v>441</v>
      </c>
      <c r="C124" s="384">
        <f>+C91+C107+C121</f>
        <v>1750541</v>
      </c>
      <c r="D124" s="384">
        <f>+D91+D107+D121</f>
        <v>1341804</v>
      </c>
      <c r="E124" s="367">
        <f>+E91+E107+E121</f>
        <v>1208443</v>
      </c>
    </row>
    <row r="125" spans="1:5" ht="12" customHeight="1" thickBot="1">
      <c r="A125" s="352" t="s">
        <v>11</v>
      </c>
      <c r="B125" s="571" t="s">
        <v>442</v>
      </c>
      <c r="C125" s="384">
        <f>+C126+C127+C128</f>
        <v>500</v>
      </c>
      <c r="D125" s="384">
        <f>+D126+D127+D128</f>
        <v>1633</v>
      </c>
      <c r="E125" s="367">
        <f>+E126+E127+E128</f>
        <v>1633</v>
      </c>
    </row>
    <row r="126" spans="1:5" ht="12" customHeight="1">
      <c r="A126" s="347" t="s">
        <v>64</v>
      </c>
      <c r="B126" s="601" t="s">
        <v>573</v>
      </c>
      <c r="C126" s="385">
        <v>500</v>
      </c>
      <c r="D126" s="385">
        <v>1633</v>
      </c>
      <c r="E126" s="368">
        <v>1633</v>
      </c>
    </row>
    <row r="127" spans="1:5" ht="12" customHeight="1">
      <c r="A127" s="347" t="s">
        <v>65</v>
      </c>
      <c r="B127" s="601" t="s">
        <v>574</v>
      </c>
      <c r="C127" s="385"/>
      <c r="D127" s="385"/>
      <c r="E127" s="368"/>
    </row>
    <row r="128" spans="1:5" ht="12" customHeight="1" thickBot="1">
      <c r="A128" s="345" t="s">
        <v>66</v>
      </c>
      <c r="B128" s="602" t="s">
        <v>575</v>
      </c>
      <c r="C128" s="385"/>
      <c r="D128" s="385"/>
      <c r="E128" s="368"/>
    </row>
    <row r="129" spans="1:9" ht="12" customHeight="1" thickBot="1">
      <c r="A129" s="352" t="s">
        <v>12</v>
      </c>
      <c r="B129" s="571" t="s">
        <v>446</v>
      </c>
      <c r="C129" s="384">
        <f>+C130+C131+C132+C133</f>
        <v>0</v>
      </c>
      <c r="D129" s="384">
        <f>+D130+D131+D132+D133</f>
        <v>0</v>
      </c>
      <c r="E129" s="367">
        <f>+E130+E131+E132+E133</f>
        <v>0</v>
      </c>
    </row>
    <row r="130" spans="1:9" ht="12" customHeight="1">
      <c r="A130" s="347" t="s">
        <v>67</v>
      </c>
      <c r="B130" s="601" t="s">
        <v>576</v>
      </c>
      <c r="C130" s="385"/>
      <c r="D130" s="385"/>
      <c r="E130" s="368"/>
    </row>
    <row r="131" spans="1:9" ht="12" customHeight="1">
      <c r="A131" s="347" t="s">
        <v>68</v>
      </c>
      <c r="B131" s="601" t="s">
        <v>577</v>
      </c>
      <c r="C131" s="385"/>
      <c r="D131" s="385"/>
      <c r="E131" s="368"/>
    </row>
    <row r="132" spans="1:9" ht="12" customHeight="1">
      <c r="A132" s="347" t="s">
        <v>343</v>
      </c>
      <c r="B132" s="601" t="s">
        <v>578</v>
      </c>
      <c r="C132" s="385"/>
      <c r="D132" s="385"/>
      <c r="E132" s="368"/>
    </row>
    <row r="133" spans="1:9" ht="12" customHeight="1" thickBot="1">
      <c r="A133" s="345" t="s">
        <v>345</v>
      </c>
      <c r="B133" s="602" t="s">
        <v>579</v>
      </c>
      <c r="C133" s="385"/>
      <c r="D133" s="385"/>
      <c r="E133" s="368"/>
    </row>
    <row r="134" spans="1:9" ht="12" customHeight="1" thickBot="1">
      <c r="A134" s="352" t="s">
        <v>13</v>
      </c>
      <c r="B134" s="571" t="s">
        <v>451</v>
      </c>
      <c r="C134" s="390">
        <f>+C135+C136+C137+C138</f>
        <v>15629</v>
      </c>
      <c r="D134" s="390">
        <f>+D135+D136+D137+D138</f>
        <v>17564</v>
      </c>
      <c r="E134" s="403">
        <f>+E135+E136+E137+E138</f>
        <v>17544</v>
      </c>
    </row>
    <row r="135" spans="1:9" ht="12" customHeight="1">
      <c r="A135" s="347" t="s">
        <v>69</v>
      </c>
      <c r="B135" s="601" t="s">
        <v>452</v>
      </c>
      <c r="C135" s="385"/>
      <c r="D135" s="385"/>
      <c r="E135" s="368"/>
    </row>
    <row r="136" spans="1:9" ht="12" customHeight="1">
      <c r="A136" s="347" t="s">
        <v>70</v>
      </c>
      <c r="B136" s="601" t="s">
        <v>453</v>
      </c>
      <c r="C136" s="385">
        <v>15197</v>
      </c>
      <c r="D136" s="385">
        <v>16664</v>
      </c>
      <c r="E136" s="368">
        <v>16664</v>
      </c>
    </row>
    <row r="137" spans="1:9" ht="12" customHeight="1">
      <c r="A137" s="347" t="s">
        <v>352</v>
      </c>
      <c r="B137" s="601" t="s">
        <v>580</v>
      </c>
      <c r="C137" s="385"/>
      <c r="D137" s="385"/>
      <c r="E137" s="368"/>
    </row>
    <row r="138" spans="1:9" ht="12" customHeight="1" thickBot="1">
      <c r="A138" s="345" t="s">
        <v>354</v>
      </c>
      <c r="B138" s="602" t="s">
        <v>497</v>
      </c>
      <c r="C138" s="385">
        <v>432</v>
      </c>
      <c r="D138" s="385">
        <v>900</v>
      </c>
      <c r="E138" s="368">
        <v>880</v>
      </c>
    </row>
    <row r="139" spans="1:9" ht="15" customHeight="1" thickBot="1">
      <c r="A139" s="352" t="s">
        <v>14</v>
      </c>
      <c r="B139" s="571" t="s">
        <v>547</v>
      </c>
      <c r="C139" s="100">
        <f>+C140+C141+C142+C143</f>
        <v>0</v>
      </c>
      <c r="D139" s="100">
        <f>+D140+D141+D142+D143</f>
        <v>0</v>
      </c>
      <c r="E139" s="336">
        <f>+E140+E141+E142+E143</f>
        <v>0</v>
      </c>
      <c r="F139" s="401"/>
      <c r="G139" s="402"/>
      <c r="H139" s="402"/>
      <c r="I139" s="402"/>
    </row>
    <row r="140" spans="1:9" s="394" customFormat="1" ht="12.95" customHeight="1">
      <c r="A140" s="347" t="s">
        <v>131</v>
      </c>
      <c r="B140" s="601" t="s">
        <v>457</v>
      </c>
      <c r="C140" s="385"/>
      <c r="D140" s="385"/>
      <c r="E140" s="368"/>
    </row>
    <row r="141" spans="1:9" ht="13.5" customHeight="1">
      <c r="A141" s="347" t="s">
        <v>132</v>
      </c>
      <c r="B141" s="601" t="s">
        <v>458</v>
      </c>
      <c r="C141" s="385"/>
      <c r="D141" s="385"/>
      <c r="E141" s="368"/>
    </row>
    <row r="142" spans="1:9" ht="13.5" customHeight="1">
      <c r="A142" s="347" t="s">
        <v>157</v>
      </c>
      <c r="B142" s="601" t="s">
        <v>459</v>
      </c>
      <c r="C142" s="385"/>
      <c r="D142" s="385"/>
      <c r="E142" s="368"/>
    </row>
    <row r="143" spans="1:9" ht="13.5" customHeight="1" thickBot="1">
      <c r="A143" s="347" t="s">
        <v>360</v>
      </c>
      <c r="B143" s="601" t="s">
        <v>460</v>
      </c>
      <c r="C143" s="385"/>
      <c r="D143" s="385"/>
      <c r="E143" s="368"/>
    </row>
    <row r="144" spans="1:9" ht="12.75" customHeight="1" thickBot="1">
      <c r="A144" s="352" t="s">
        <v>15</v>
      </c>
      <c r="B144" s="571" t="s">
        <v>461</v>
      </c>
      <c r="C144" s="334">
        <f>+C125+C129+C134+C139</f>
        <v>16129</v>
      </c>
      <c r="D144" s="334">
        <f>+D125+D129+D134+D139</f>
        <v>19197</v>
      </c>
      <c r="E144" s="335">
        <f>+E125+E129+E134+E139</f>
        <v>19177</v>
      </c>
    </row>
    <row r="145" spans="1:5" ht="13.5" customHeight="1" thickBot="1">
      <c r="A145" s="377" t="s">
        <v>16</v>
      </c>
      <c r="B145" s="603" t="s">
        <v>462</v>
      </c>
      <c r="C145" s="334">
        <f>+C124+C144</f>
        <v>1766670</v>
      </c>
      <c r="D145" s="334">
        <f>+D124+D144</f>
        <v>1361001</v>
      </c>
      <c r="E145" s="335">
        <f>+E124+E144</f>
        <v>1227620</v>
      </c>
    </row>
    <row r="146" spans="1:5" ht="13.5" customHeight="1"/>
    <row r="147" spans="1:5" ht="13.5" customHeight="1"/>
    <row r="148" spans="1:5" ht="7.5" customHeight="1"/>
    <row r="150" spans="1:5" ht="12.75" customHeight="1"/>
    <row r="151" spans="1:5" ht="12.75" customHeight="1"/>
    <row r="152" spans="1:5" ht="12.75" customHeight="1"/>
    <row r="153" spans="1:5" ht="12.75" customHeight="1"/>
    <row r="154" spans="1:5" ht="12.75" customHeight="1"/>
    <row r="155" spans="1:5" ht="12.75" customHeight="1"/>
    <row r="156" spans="1:5" ht="12.75" customHeight="1"/>
    <row r="157" spans="1:5" ht="12.75" customHeight="1"/>
  </sheetData>
  <mergeCells count="10">
    <mergeCell ref="A1:E1"/>
    <mergeCell ref="A3:A4"/>
    <mergeCell ref="B3:B4"/>
    <mergeCell ref="D3:E3"/>
    <mergeCell ref="C3:C4"/>
    <mergeCell ref="A86:E86"/>
    <mergeCell ref="A88:A89"/>
    <mergeCell ref="B88:B89"/>
    <mergeCell ref="D88:E88"/>
    <mergeCell ref="C88:C89"/>
  </mergeCells>
  <phoneticPr fontId="27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2016. ÉVI ZÁRSZÁMADÁSÁNAK PÉNZÜGYI MÉRLEGE&amp;10
&amp;R&amp;"Times New Roman CE,Félkövér dőlt"&amp;11 1. tájékoztató tábla a ....../2017. (......) önkormányzati rendelethez</oddHeader>
  </headerFooter>
  <rowBreaks count="1" manualBreakCount="1">
    <brk id="85" max="5" man="1"/>
  </rowBreaks>
</worksheet>
</file>

<file path=xl/worksheets/sheet41.xml><?xml version="1.0" encoding="utf-8"?>
<worksheet xmlns="http://schemas.openxmlformats.org/spreadsheetml/2006/main" xmlns:r="http://schemas.openxmlformats.org/officeDocument/2006/relationships">
  <sheetPr>
    <tabColor rgb="FF92D050"/>
  </sheetPr>
  <dimension ref="B1:L24"/>
  <sheetViews>
    <sheetView zoomScaleNormal="100" workbookViewId="0">
      <selection activeCell="A2" sqref="A1:A1048576"/>
    </sheetView>
  </sheetViews>
  <sheetFormatPr defaultRowHeight="12.75"/>
  <cols>
    <col min="1" max="1" width="9.33203125" style="4"/>
    <col min="2" max="2" width="6.83203125" style="5" customWidth="1"/>
    <col min="3" max="3" width="32.33203125" style="4" customWidth="1"/>
    <col min="4" max="4" width="17" style="4" customWidth="1"/>
    <col min="5" max="10" width="12.83203125" style="4" customWidth="1"/>
    <col min="11" max="11" width="13.83203125" style="4" customWidth="1"/>
    <col min="12" max="12" width="4" style="4" customWidth="1"/>
    <col min="13" max="16384" width="9.33203125" style="4"/>
  </cols>
  <sheetData>
    <row r="1" spans="2:12" ht="14.25" thickBot="1">
      <c r="B1" s="118"/>
      <c r="C1" s="119"/>
      <c r="D1" s="119"/>
      <c r="E1" s="119"/>
      <c r="F1" s="119"/>
      <c r="G1" s="119"/>
      <c r="H1" s="119"/>
      <c r="I1" s="119"/>
      <c r="J1" s="119"/>
      <c r="K1" s="120" t="s">
        <v>51</v>
      </c>
      <c r="L1" s="839" t="str">
        <f>+CONCATENATE("2. tájékoztató tábla a ......../",LEFT(ÖSSZEFÜGGÉSEK!A4,4)+1,". (........) önkormányzati rendelethez")</f>
        <v>2. tájékoztató tábla a ......../2017. (........) önkormányzati rendelethez</v>
      </c>
    </row>
    <row r="2" spans="2:12" s="124" customFormat="1" ht="26.25" customHeight="1">
      <c r="B2" s="926" t="s">
        <v>59</v>
      </c>
      <c r="C2" s="928" t="s">
        <v>188</v>
      </c>
      <c r="D2" s="928" t="s">
        <v>189</v>
      </c>
      <c r="E2" s="928" t="s">
        <v>190</v>
      </c>
      <c r="F2" s="928" t="str">
        <f>+CONCATENATE(LEFT(ÖSSZEFÜGGÉSEK!A4,4),". évi teljesítés")</f>
        <v>2016. évi teljesítés</v>
      </c>
      <c r="G2" s="121" t="s">
        <v>191</v>
      </c>
      <c r="H2" s="122"/>
      <c r="I2" s="122"/>
      <c r="J2" s="123"/>
      <c r="K2" s="931" t="s">
        <v>192</v>
      </c>
      <c r="L2" s="839"/>
    </row>
    <row r="3" spans="2:12" s="128" customFormat="1" ht="32.25" customHeight="1" thickBot="1">
      <c r="B3" s="927"/>
      <c r="C3" s="929"/>
      <c r="D3" s="929"/>
      <c r="E3" s="930"/>
      <c r="F3" s="930"/>
      <c r="G3" s="125" t="str">
        <f>+CONCATENATE(LEFT(ÖSSZEFÜGGÉSEK!A4,4)+1,".")</f>
        <v>2017.</v>
      </c>
      <c r="H3" s="126" t="str">
        <f>+CONCATENATE(LEFT(ÖSSZEFÜGGÉSEK!A4,4)+2,".")</f>
        <v>2018.</v>
      </c>
      <c r="I3" s="126" t="str">
        <f>+CONCATENATE(LEFT(ÖSSZEFÜGGÉSEK!A4,4)+3,".")</f>
        <v>2019.</v>
      </c>
      <c r="J3" s="127" t="str">
        <f>+CONCATENATE(LEFT(ÖSSZEFÜGGÉSEK!A4,4)+3,". után")</f>
        <v>2019. után</v>
      </c>
      <c r="K3" s="932"/>
      <c r="L3" s="839"/>
    </row>
    <row r="4" spans="2:12" s="130" customFormat="1" ht="14.1" customHeight="1" thickBot="1">
      <c r="B4" s="574" t="s">
        <v>409</v>
      </c>
      <c r="C4" s="129" t="s">
        <v>581</v>
      </c>
      <c r="D4" s="575" t="s">
        <v>411</v>
      </c>
      <c r="E4" s="575" t="s">
        <v>412</v>
      </c>
      <c r="F4" s="575" t="s">
        <v>413</v>
      </c>
      <c r="G4" s="575" t="s">
        <v>490</v>
      </c>
      <c r="H4" s="575" t="s">
        <v>491</v>
      </c>
      <c r="I4" s="575" t="s">
        <v>492</v>
      </c>
      <c r="J4" s="575" t="s">
        <v>493</v>
      </c>
      <c r="K4" s="576" t="s">
        <v>681</v>
      </c>
      <c r="L4" s="839"/>
    </row>
    <row r="5" spans="2:12" ht="25.5" customHeight="1">
      <c r="B5" s="131" t="s">
        <v>7</v>
      </c>
      <c r="C5" s="132" t="s">
        <v>193</v>
      </c>
      <c r="D5" s="133"/>
      <c r="E5" s="134">
        <f t="shared" ref="E5:J5" si="0">SUM(E6:E7)</f>
        <v>0</v>
      </c>
      <c r="F5" s="134">
        <f t="shared" si="0"/>
        <v>0</v>
      </c>
      <c r="G5" s="134">
        <f t="shared" si="0"/>
        <v>0</v>
      </c>
      <c r="H5" s="134">
        <f t="shared" si="0"/>
        <v>0</v>
      </c>
      <c r="I5" s="134">
        <f t="shared" si="0"/>
        <v>0</v>
      </c>
      <c r="J5" s="135">
        <f t="shared" si="0"/>
        <v>0</v>
      </c>
      <c r="K5" s="136">
        <f t="shared" ref="K5:K23" si="1">SUM(G5:J5)</f>
        <v>0</v>
      </c>
      <c r="L5" s="839"/>
    </row>
    <row r="6" spans="2:12" ht="14.25" customHeight="1">
      <c r="B6" s="137" t="s">
        <v>8</v>
      </c>
      <c r="C6" s="138" t="s">
        <v>194</v>
      </c>
      <c r="D6" s="139"/>
      <c r="E6" s="2"/>
      <c r="F6" s="2"/>
      <c r="G6" s="2"/>
      <c r="H6" s="2"/>
      <c r="I6" s="2"/>
      <c r="J6" s="50"/>
      <c r="K6" s="140">
        <f t="shared" si="1"/>
        <v>0</v>
      </c>
      <c r="L6" s="839"/>
    </row>
    <row r="7" spans="2:12" ht="11.25" customHeight="1" thickBot="1">
      <c r="B7" s="137" t="s">
        <v>9</v>
      </c>
      <c r="C7" s="138" t="s">
        <v>194</v>
      </c>
      <c r="D7" s="139"/>
      <c r="E7" s="2"/>
      <c r="F7" s="2"/>
      <c r="G7" s="2"/>
      <c r="H7" s="2"/>
      <c r="I7" s="2"/>
      <c r="J7" s="50"/>
      <c r="K7" s="140">
        <f t="shared" si="1"/>
        <v>0</v>
      </c>
      <c r="L7" s="839"/>
    </row>
    <row r="8" spans="2:12" ht="36" customHeight="1" thickBot="1">
      <c r="B8" s="706" t="s">
        <v>10</v>
      </c>
      <c r="C8" s="707" t="s">
        <v>797</v>
      </c>
      <c r="D8" s="708"/>
      <c r="E8" s="709"/>
      <c r="F8" s="710">
        <f>SUM(F9:F15)</f>
        <v>7406</v>
      </c>
      <c r="G8" s="711">
        <f>SUM(G9:G16)</f>
        <v>6351</v>
      </c>
      <c r="H8" s="712">
        <f>SUM(H9:H19)</f>
        <v>6209</v>
      </c>
      <c r="I8" s="712">
        <f>SUM(I9:I19)</f>
        <v>6065</v>
      </c>
      <c r="J8" s="713">
        <f>SUM(J9:J19)</f>
        <v>31343</v>
      </c>
      <c r="K8" s="710">
        <f t="shared" ref="K8:K15" si="2">SUM(F8:J8)</f>
        <v>57374</v>
      </c>
      <c r="L8" s="839"/>
    </row>
    <row r="9" spans="2:12" ht="30" customHeight="1">
      <c r="B9" s="719" t="s">
        <v>11</v>
      </c>
      <c r="C9" s="722" t="s">
        <v>784</v>
      </c>
      <c r="D9" s="723" t="s">
        <v>785</v>
      </c>
      <c r="E9" s="726" t="s">
        <v>786</v>
      </c>
      <c r="F9" s="714">
        <f>500+504</f>
        <v>1004</v>
      </c>
      <c r="G9" s="715">
        <v>2016</v>
      </c>
      <c r="H9" s="715">
        <v>2016</v>
      </c>
      <c r="I9" s="715">
        <v>2016</v>
      </c>
      <c r="J9" s="716">
        <v>19140</v>
      </c>
      <c r="K9" s="717">
        <f t="shared" si="2"/>
        <v>26192</v>
      </c>
      <c r="L9" s="839"/>
    </row>
    <row r="10" spans="2:12" ht="28.5" customHeight="1">
      <c r="B10" s="720"/>
      <c r="C10" s="138" t="s">
        <v>787</v>
      </c>
      <c r="D10" s="724"/>
      <c r="E10" s="727"/>
      <c r="F10" s="714">
        <v>2190</v>
      </c>
      <c r="G10" s="318">
        <v>1042</v>
      </c>
      <c r="H10" s="318">
        <v>958</v>
      </c>
      <c r="I10" s="318">
        <v>874</v>
      </c>
      <c r="J10" s="320">
        <v>790</v>
      </c>
      <c r="K10" s="718">
        <f>SUM(F10:J10)</f>
        <v>5854</v>
      </c>
      <c r="L10" s="839"/>
    </row>
    <row r="11" spans="2:12" ht="25.5" customHeight="1">
      <c r="B11" s="721" t="s">
        <v>12</v>
      </c>
      <c r="C11" s="138" t="s">
        <v>788</v>
      </c>
      <c r="D11" s="725" t="s">
        <v>785</v>
      </c>
      <c r="E11" s="728" t="s">
        <v>786</v>
      </c>
      <c r="F11" s="714">
        <v>129</v>
      </c>
      <c r="G11" s="2">
        <v>516</v>
      </c>
      <c r="H11" s="2">
        <v>516</v>
      </c>
      <c r="I11" s="2">
        <v>516</v>
      </c>
      <c r="J11" s="180">
        <v>5019</v>
      </c>
      <c r="K11" s="140">
        <f t="shared" si="2"/>
        <v>6696</v>
      </c>
      <c r="L11" s="839"/>
    </row>
    <row r="12" spans="2:12" ht="22.5" customHeight="1">
      <c r="B12" s="721"/>
      <c r="C12" s="138" t="s">
        <v>789</v>
      </c>
      <c r="D12" s="725"/>
      <c r="E12" s="728"/>
      <c r="F12" s="714">
        <v>560</v>
      </c>
      <c r="G12" s="2">
        <v>266</v>
      </c>
      <c r="H12" s="2">
        <v>245</v>
      </c>
      <c r="I12" s="2">
        <v>223</v>
      </c>
      <c r="J12" s="180">
        <v>202</v>
      </c>
      <c r="K12" s="140">
        <f>SUM(F12:J12)</f>
        <v>1496</v>
      </c>
      <c r="L12" s="839"/>
    </row>
    <row r="13" spans="2:12" ht="18" customHeight="1">
      <c r="B13" s="721" t="s">
        <v>13</v>
      </c>
      <c r="C13" s="138" t="s">
        <v>790</v>
      </c>
      <c r="D13" s="725" t="s">
        <v>791</v>
      </c>
      <c r="E13" s="728" t="s">
        <v>792</v>
      </c>
      <c r="F13" s="714">
        <f>500+1000</f>
        <v>1500</v>
      </c>
      <c r="G13" s="2">
        <v>1000</v>
      </c>
      <c r="H13" s="2">
        <v>1000</v>
      </c>
      <c r="I13" s="2">
        <v>1000</v>
      </c>
      <c r="J13" s="180">
        <v>5498</v>
      </c>
      <c r="K13" s="140">
        <f t="shared" si="2"/>
        <v>9998</v>
      </c>
      <c r="L13" s="839"/>
    </row>
    <row r="14" spans="2:12" ht="18" customHeight="1">
      <c r="B14" s="721"/>
      <c r="C14" s="138" t="s">
        <v>793</v>
      </c>
      <c r="D14" s="725"/>
      <c r="E14" s="728"/>
      <c r="F14" s="714">
        <v>711</v>
      </c>
      <c r="G14" s="2">
        <v>303</v>
      </c>
      <c r="H14" s="2">
        <v>266</v>
      </c>
      <c r="I14" s="2">
        <v>228</v>
      </c>
      <c r="J14" s="180">
        <v>191</v>
      </c>
      <c r="K14" s="140">
        <f>SUM(F14:J14)</f>
        <v>1699</v>
      </c>
      <c r="L14" s="839"/>
    </row>
    <row r="15" spans="2:12" ht="29.25" customHeight="1">
      <c r="B15" s="721" t="s">
        <v>14</v>
      </c>
      <c r="C15" s="138" t="s">
        <v>794</v>
      </c>
      <c r="D15" s="725" t="s">
        <v>791</v>
      </c>
      <c r="E15" s="728" t="s">
        <v>795</v>
      </c>
      <c r="F15" s="714">
        <f>432+880</f>
        <v>1312</v>
      </c>
      <c r="G15" s="2">
        <v>953</v>
      </c>
      <c r="H15" s="2">
        <v>1033</v>
      </c>
      <c r="I15" s="2">
        <v>1119</v>
      </c>
      <c r="J15" s="180">
        <v>493</v>
      </c>
      <c r="K15" s="140">
        <f t="shared" si="2"/>
        <v>4910</v>
      </c>
      <c r="L15" s="839"/>
    </row>
    <row r="16" spans="2:12" ht="30" customHeight="1">
      <c r="B16" s="721"/>
      <c r="C16" s="138" t="s">
        <v>796</v>
      </c>
      <c r="D16" s="725"/>
      <c r="E16" s="728"/>
      <c r="F16" s="714"/>
      <c r="G16" s="2">
        <v>255</v>
      </c>
      <c r="H16" s="2">
        <v>175</v>
      </c>
      <c r="I16" s="2">
        <v>89</v>
      </c>
      <c r="J16" s="180">
        <v>10</v>
      </c>
      <c r="K16" s="140">
        <f>SUM(F16:J16)</f>
        <v>529</v>
      </c>
      <c r="L16" s="839"/>
    </row>
    <row r="17" spans="2:12" ht="21" customHeight="1">
      <c r="B17" s="137" t="s">
        <v>13</v>
      </c>
      <c r="C17" s="145" t="s">
        <v>195</v>
      </c>
      <c r="D17" s="141"/>
      <c r="E17" s="142">
        <f t="shared" ref="E17:J17" si="3">SUM(E18:E18)</f>
        <v>0</v>
      </c>
      <c r="F17" s="142">
        <f t="shared" si="3"/>
        <v>0</v>
      </c>
      <c r="G17" s="142">
        <f t="shared" si="3"/>
        <v>0</v>
      </c>
      <c r="H17" s="142">
        <f t="shared" si="3"/>
        <v>0</v>
      </c>
      <c r="I17" s="142">
        <f t="shared" si="3"/>
        <v>0</v>
      </c>
      <c r="J17" s="143">
        <f t="shared" si="3"/>
        <v>0</v>
      </c>
      <c r="K17" s="144">
        <f t="shared" si="1"/>
        <v>0</v>
      </c>
      <c r="L17" s="839"/>
    </row>
    <row r="18" spans="2:12" ht="21" customHeight="1">
      <c r="B18" s="137" t="s">
        <v>14</v>
      </c>
      <c r="C18" s="138" t="s">
        <v>194</v>
      </c>
      <c r="D18" s="139"/>
      <c r="E18" s="2"/>
      <c r="F18" s="2"/>
      <c r="G18" s="2"/>
      <c r="H18" s="2"/>
      <c r="I18" s="2"/>
      <c r="J18" s="50"/>
      <c r="K18" s="140">
        <f t="shared" si="1"/>
        <v>0</v>
      </c>
      <c r="L18" s="839"/>
    </row>
    <row r="19" spans="2:12" ht="21" customHeight="1">
      <c r="B19" s="137" t="s">
        <v>15</v>
      </c>
      <c r="C19" s="145" t="s">
        <v>196</v>
      </c>
      <c r="D19" s="141"/>
      <c r="E19" s="142">
        <f t="shared" ref="E19:J19" si="4">SUM(E20:E20)</f>
        <v>0</v>
      </c>
      <c r="F19" s="142">
        <f t="shared" si="4"/>
        <v>0</v>
      </c>
      <c r="G19" s="142">
        <f t="shared" si="4"/>
        <v>0</v>
      </c>
      <c r="H19" s="142">
        <f t="shared" si="4"/>
        <v>0</v>
      </c>
      <c r="I19" s="142">
        <f t="shared" si="4"/>
        <v>0</v>
      </c>
      <c r="J19" s="143">
        <f t="shared" si="4"/>
        <v>0</v>
      </c>
      <c r="K19" s="144">
        <f t="shared" si="1"/>
        <v>0</v>
      </c>
      <c r="L19" s="839"/>
    </row>
    <row r="20" spans="2:12" ht="21" customHeight="1">
      <c r="B20" s="137" t="s">
        <v>16</v>
      </c>
      <c r="C20" s="138" t="s">
        <v>194</v>
      </c>
      <c r="D20" s="139"/>
      <c r="E20" s="2"/>
      <c r="F20" s="2"/>
      <c r="G20" s="2"/>
      <c r="H20" s="2"/>
      <c r="I20" s="2"/>
      <c r="J20" s="50"/>
      <c r="K20" s="140">
        <f t="shared" si="1"/>
        <v>0</v>
      </c>
      <c r="L20" s="839"/>
    </row>
    <row r="21" spans="2:12" ht="21" customHeight="1">
      <c r="B21" s="146" t="s">
        <v>17</v>
      </c>
      <c r="C21" s="147" t="s">
        <v>197</v>
      </c>
      <c r="D21" s="148"/>
      <c r="E21" s="149">
        <f t="shared" ref="E21:J21" si="5">SUM(E22:E23)</f>
        <v>0</v>
      </c>
      <c r="F21" s="149">
        <f t="shared" si="5"/>
        <v>0</v>
      </c>
      <c r="G21" s="149">
        <f t="shared" si="5"/>
        <v>0</v>
      </c>
      <c r="H21" s="149">
        <f t="shared" si="5"/>
        <v>0</v>
      </c>
      <c r="I21" s="149">
        <f t="shared" si="5"/>
        <v>0</v>
      </c>
      <c r="J21" s="150">
        <f t="shared" si="5"/>
        <v>0</v>
      </c>
      <c r="K21" s="144">
        <f t="shared" si="1"/>
        <v>0</v>
      </c>
      <c r="L21" s="839"/>
    </row>
    <row r="22" spans="2:12" ht="21" customHeight="1">
      <c r="B22" s="146" t="s">
        <v>18</v>
      </c>
      <c r="C22" s="138" t="s">
        <v>194</v>
      </c>
      <c r="D22" s="139"/>
      <c r="E22" s="2"/>
      <c r="F22" s="2"/>
      <c r="G22" s="2"/>
      <c r="H22" s="2"/>
      <c r="I22" s="2"/>
      <c r="J22" s="50"/>
      <c r="K22" s="140">
        <f t="shared" si="1"/>
        <v>0</v>
      </c>
      <c r="L22" s="839"/>
    </row>
    <row r="23" spans="2:12" ht="21" customHeight="1" thickBot="1">
      <c r="B23" s="146" t="s">
        <v>19</v>
      </c>
      <c r="C23" s="138" t="s">
        <v>194</v>
      </c>
      <c r="D23" s="151"/>
      <c r="E23" s="152"/>
      <c r="F23" s="152"/>
      <c r="G23" s="152"/>
      <c r="H23" s="152"/>
      <c r="I23" s="152"/>
      <c r="J23" s="153"/>
      <c r="K23" s="140">
        <f t="shared" si="1"/>
        <v>0</v>
      </c>
      <c r="L23" s="839"/>
    </row>
    <row r="24" spans="2:12" ht="21" customHeight="1" thickBot="1">
      <c r="B24" s="154" t="s">
        <v>20</v>
      </c>
      <c r="C24" s="155" t="s">
        <v>198</v>
      </c>
      <c r="D24" s="156"/>
      <c r="E24" s="157">
        <f t="shared" ref="E24:K24" si="6">E5+E8+E17+E19+E21</f>
        <v>0</v>
      </c>
      <c r="F24" s="157">
        <f t="shared" si="6"/>
        <v>7406</v>
      </c>
      <c r="G24" s="157">
        <f t="shared" si="6"/>
        <v>6351</v>
      </c>
      <c r="H24" s="157">
        <f t="shared" si="6"/>
        <v>6209</v>
      </c>
      <c r="I24" s="157">
        <f t="shared" si="6"/>
        <v>6065</v>
      </c>
      <c r="J24" s="158">
        <f t="shared" si="6"/>
        <v>31343</v>
      </c>
      <c r="K24" s="159">
        <f t="shared" si="6"/>
        <v>57374</v>
      </c>
      <c r="L24" s="839"/>
    </row>
  </sheetData>
  <mergeCells count="7">
    <mergeCell ref="L1:L24"/>
    <mergeCell ref="B2:B3"/>
    <mergeCell ref="C2:C3"/>
    <mergeCell ref="D2:D3"/>
    <mergeCell ref="E2:E3"/>
    <mergeCell ref="F2:F3"/>
    <mergeCell ref="K2:K3"/>
  </mergeCells>
  <phoneticPr fontId="27" type="noConversion"/>
  <printOptions horizontalCentered="1"/>
  <pageMargins left="0.78740157480314965" right="0.78740157480314965" top="1.39" bottom="0.98425196850393704" header="0.78740157480314965" footer="0.78740157480314965"/>
  <pageSetup paperSize="9" scale="78" orientation="landscape" verticalDpi="300" r:id="rId1"/>
  <headerFooter alignWithMargins="0">
    <oddHeader>&amp;C&amp;"Times New Roman CE,Félkövér"&amp;12
Többéves kihatással járó döntésekből származó kötelezettségek
célok szerint, évenkénti bontásban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>
    <tabColor rgb="FF92D050"/>
  </sheetPr>
  <dimension ref="A1:I20"/>
  <sheetViews>
    <sheetView view="pageLayout" topLeftCell="A10" zoomScaleNormal="100" workbookViewId="0">
      <selection sqref="A1:E1"/>
    </sheetView>
  </sheetViews>
  <sheetFormatPr defaultRowHeight="12.75"/>
  <cols>
    <col min="1" max="1" width="6.83203125" style="5" customWidth="1"/>
    <col min="2" max="2" width="50.33203125" style="4" customWidth="1"/>
    <col min="3" max="5" width="12.83203125" style="4" customWidth="1"/>
    <col min="6" max="6" width="13.83203125" style="4" customWidth="1"/>
    <col min="7" max="7" width="15.5" style="4" customWidth="1"/>
    <col min="8" max="8" width="16.83203125" style="4" customWidth="1"/>
    <col min="9" max="9" width="5.6640625" style="4" customWidth="1"/>
    <col min="10" max="16384" width="9.33203125" style="4"/>
  </cols>
  <sheetData>
    <row r="1" spans="1:9" s="19" customFormat="1" ht="15.75" thickBot="1">
      <c r="A1" s="160"/>
      <c r="H1" s="161" t="s">
        <v>51</v>
      </c>
      <c r="I1" s="933" t="str">
        <f>+CONCATENATE("3. tájékoztató tábla a ......../",LEFT(ÖSSZEFÜGGÉSEK!A4,4)+1,". (........) önkormányzati rendelethez")</f>
        <v>3. tájékoztató tábla a ......../2017. (........) önkormányzati rendelethez</v>
      </c>
    </row>
    <row r="2" spans="1:9" s="124" customFormat="1" ht="26.25" customHeight="1">
      <c r="A2" s="847" t="s">
        <v>59</v>
      </c>
      <c r="B2" s="937" t="s">
        <v>199</v>
      </c>
      <c r="C2" s="847" t="s">
        <v>200</v>
      </c>
      <c r="D2" s="847" t="s">
        <v>201</v>
      </c>
      <c r="E2" s="939" t="str">
        <f>+CONCATENATE("Hitel, kölcsön állomány ",LEFT(ÖSSZEFÜGGÉSEK!A4,4),". dec. 31-én")</f>
        <v>Hitel, kölcsön állomány 2016. dec. 31-én</v>
      </c>
      <c r="F2" s="941" t="s">
        <v>202</v>
      </c>
      <c r="G2" s="942"/>
      <c r="H2" s="934" t="str">
        <f>+CONCATENATE(LEFT(ÖSSZEFÜGGÉSEK!A4,4)+2,". után")</f>
        <v>2018. után</v>
      </c>
      <c r="I2" s="933"/>
    </row>
    <row r="3" spans="1:9" s="128" customFormat="1" ht="40.5" customHeight="1" thickBot="1">
      <c r="A3" s="936"/>
      <c r="B3" s="938"/>
      <c r="C3" s="938"/>
      <c r="D3" s="936"/>
      <c r="E3" s="940"/>
      <c r="F3" s="162" t="str">
        <f>+CONCATENATE(LEFT(ÖSSZEFÜGGÉSEK!A4,4)+1,".")</f>
        <v>2017.</v>
      </c>
      <c r="G3" s="163" t="str">
        <f>+CONCATENATE(LEFT(ÖSSZEFÜGGÉSEK!A4,4)+2,".")</f>
        <v>2018.</v>
      </c>
      <c r="H3" s="935"/>
      <c r="I3" s="933"/>
    </row>
    <row r="4" spans="1:9" s="167" customFormat="1" ht="12.95" customHeight="1" thickBot="1">
      <c r="A4" s="164" t="s">
        <v>409</v>
      </c>
      <c r="B4" s="117" t="s">
        <v>410</v>
      </c>
      <c r="C4" s="117" t="s">
        <v>411</v>
      </c>
      <c r="D4" s="165" t="s">
        <v>412</v>
      </c>
      <c r="E4" s="164" t="s">
        <v>413</v>
      </c>
      <c r="F4" s="165" t="s">
        <v>490</v>
      </c>
      <c r="G4" s="165" t="s">
        <v>491</v>
      </c>
      <c r="H4" s="166" t="s">
        <v>492</v>
      </c>
      <c r="I4" s="933"/>
    </row>
    <row r="5" spans="1:9" ht="22.5" customHeight="1" thickBot="1">
      <c r="A5" s="168" t="s">
        <v>7</v>
      </c>
      <c r="B5" s="169" t="s">
        <v>203</v>
      </c>
      <c r="C5" s="170"/>
      <c r="D5" s="171"/>
      <c r="E5" s="172">
        <f>SUM(E6:E11)</f>
        <v>0</v>
      </c>
      <c r="F5" s="173">
        <f>SUM(F6:F11)</f>
        <v>0</v>
      </c>
      <c r="G5" s="173">
        <f>SUM(G6:G11)</f>
        <v>0</v>
      </c>
      <c r="H5" s="174">
        <f>SUM(H6:H11)</f>
        <v>0</v>
      </c>
      <c r="I5" s="933"/>
    </row>
    <row r="6" spans="1:9" ht="22.5" customHeight="1">
      <c r="A6" s="175" t="s">
        <v>8</v>
      </c>
      <c r="B6" s="176" t="s">
        <v>194</v>
      </c>
      <c r="C6" s="177"/>
      <c r="D6" s="178"/>
      <c r="E6" s="179"/>
      <c r="F6" s="2"/>
      <c r="G6" s="2"/>
      <c r="H6" s="180"/>
      <c r="I6" s="933"/>
    </row>
    <row r="7" spans="1:9" ht="22.5" customHeight="1">
      <c r="A7" s="175" t="s">
        <v>9</v>
      </c>
      <c r="B7" s="176" t="s">
        <v>194</v>
      </c>
      <c r="C7" s="177"/>
      <c r="D7" s="178"/>
      <c r="E7" s="179"/>
      <c r="F7" s="2"/>
      <c r="G7" s="2"/>
      <c r="H7" s="180"/>
      <c r="I7" s="933"/>
    </row>
    <row r="8" spans="1:9" ht="22.5" customHeight="1">
      <c r="A8" s="175" t="s">
        <v>10</v>
      </c>
      <c r="B8" s="176" t="s">
        <v>194</v>
      </c>
      <c r="C8" s="177"/>
      <c r="D8" s="178"/>
      <c r="E8" s="179"/>
      <c r="F8" s="2"/>
      <c r="G8" s="2"/>
      <c r="H8" s="180"/>
      <c r="I8" s="933"/>
    </row>
    <row r="9" spans="1:9" ht="22.5" customHeight="1">
      <c r="A9" s="175" t="s">
        <v>11</v>
      </c>
      <c r="B9" s="176" t="s">
        <v>194</v>
      </c>
      <c r="C9" s="177"/>
      <c r="D9" s="178"/>
      <c r="E9" s="179"/>
      <c r="F9" s="2"/>
      <c r="G9" s="2"/>
      <c r="H9" s="180"/>
      <c r="I9" s="933"/>
    </row>
    <row r="10" spans="1:9" ht="22.5" customHeight="1">
      <c r="A10" s="175" t="s">
        <v>12</v>
      </c>
      <c r="B10" s="176" t="s">
        <v>194</v>
      </c>
      <c r="C10" s="177"/>
      <c r="D10" s="178"/>
      <c r="E10" s="179"/>
      <c r="F10" s="2"/>
      <c r="G10" s="2"/>
      <c r="H10" s="180"/>
      <c r="I10" s="933"/>
    </row>
    <row r="11" spans="1:9" ht="22.5" customHeight="1" thickBot="1">
      <c r="A11" s="175" t="s">
        <v>13</v>
      </c>
      <c r="B11" s="176" t="s">
        <v>194</v>
      </c>
      <c r="C11" s="177"/>
      <c r="D11" s="178"/>
      <c r="E11" s="179"/>
      <c r="F11" s="2"/>
      <c r="G11" s="2"/>
      <c r="H11" s="180"/>
      <c r="I11" s="933"/>
    </row>
    <row r="12" spans="1:9" ht="22.5" customHeight="1" thickBot="1">
      <c r="A12" s="168" t="s">
        <v>14</v>
      </c>
      <c r="B12" s="169" t="s">
        <v>204</v>
      </c>
      <c r="C12" s="181"/>
      <c r="D12" s="182"/>
      <c r="E12" s="172">
        <f>SUM(E13:E18)</f>
        <v>0</v>
      </c>
      <c r="F12" s="173">
        <f>SUM(F13:F18)</f>
        <v>0</v>
      </c>
      <c r="G12" s="173">
        <f>SUM(G13:G18)</f>
        <v>0</v>
      </c>
      <c r="H12" s="174">
        <f>SUM(H13:H18)</f>
        <v>0</v>
      </c>
      <c r="I12" s="933"/>
    </row>
    <row r="13" spans="1:9" ht="22.5" customHeight="1">
      <c r="A13" s="175" t="s">
        <v>15</v>
      </c>
      <c r="B13" s="176" t="s">
        <v>194</v>
      </c>
      <c r="C13" s="177"/>
      <c r="D13" s="178"/>
      <c r="E13" s="179"/>
      <c r="F13" s="2"/>
      <c r="G13" s="2"/>
      <c r="H13" s="180"/>
      <c r="I13" s="933"/>
    </row>
    <row r="14" spans="1:9" ht="22.5" customHeight="1">
      <c r="A14" s="175" t="s">
        <v>16</v>
      </c>
      <c r="B14" s="176" t="s">
        <v>194</v>
      </c>
      <c r="C14" s="177"/>
      <c r="D14" s="178"/>
      <c r="E14" s="179"/>
      <c r="F14" s="2"/>
      <c r="G14" s="2"/>
      <c r="H14" s="180"/>
      <c r="I14" s="933"/>
    </row>
    <row r="15" spans="1:9" ht="22.5" customHeight="1">
      <c r="A15" s="175" t="s">
        <v>17</v>
      </c>
      <c r="B15" s="176" t="s">
        <v>194</v>
      </c>
      <c r="C15" s="177"/>
      <c r="D15" s="178"/>
      <c r="E15" s="179"/>
      <c r="F15" s="2"/>
      <c r="G15" s="2"/>
      <c r="H15" s="180"/>
      <c r="I15" s="933"/>
    </row>
    <row r="16" spans="1:9" ht="22.5" customHeight="1">
      <c r="A16" s="175" t="s">
        <v>18</v>
      </c>
      <c r="B16" s="176" t="s">
        <v>194</v>
      </c>
      <c r="C16" s="177"/>
      <c r="D16" s="178"/>
      <c r="E16" s="179"/>
      <c r="F16" s="2"/>
      <c r="G16" s="2"/>
      <c r="H16" s="180"/>
      <c r="I16" s="933"/>
    </row>
    <row r="17" spans="1:9" ht="22.5" customHeight="1">
      <c r="A17" s="175" t="s">
        <v>19</v>
      </c>
      <c r="B17" s="176" t="s">
        <v>194</v>
      </c>
      <c r="C17" s="177"/>
      <c r="D17" s="178"/>
      <c r="E17" s="179"/>
      <c r="F17" s="2"/>
      <c r="G17" s="2"/>
      <c r="H17" s="180"/>
      <c r="I17" s="933"/>
    </row>
    <row r="18" spans="1:9" ht="22.5" customHeight="1" thickBot="1">
      <c r="A18" s="175" t="s">
        <v>20</v>
      </c>
      <c r="B18" s="176" t="s">
        <v>194</v>
      </c>
      <c r="C18" s="177"/>
      <c r="D18" s="178"/>
      <c r="E18" s="179"/>
      <c r="F18" s="2"/>
      <c r="G18" s="2"/>
      <c r="H18" s="180"/>
      <c r="I18" s="933"/>
    </row>
    <row r="19" spans="1:9" ht="22.5" customHeight="1" thickBot="1">
      <c r="A19" s="168" t="s">
        <v>21</v>
      </c>
      <c r="B19" s="169" t="s">
        <v>682</v>
      </c>
      <c r="C19" s="170"/>
      <c r="D19" s="171"/>
      <c r="E19" s="172">
        <f>E5+E12</f>
        <v>0</v>
      </c>
      <c r="F19" s="173">
        <f>F5+F12</f>
        <v>0</v>
      </c>
      <c r="G19" s="173">
        <f>G5+G12</f>
        <v>0</v>
      </c>
      <c r="H19" s="174">
        <f>H5+H12</f>
        <v>0</v>
      </c>
      <c r="I19" s="933"/>
    </row>
    <row r="20" spans="1:9" ht="20.100000000000001" customHeight="1"/>
  </sheetData>
  <sheetProtection sheet="1" objects="1" scenarios="1"/>
  <mergeCells count="8">
    <mergeCell ref="I1:I19"/>
    <mergeCell ref="H2:H3"/>
    <mergeCell ref="A2:A3"/>
    <mergeCell ref="B2:B3"/>
    <mergeCell ref="C2:C3"/>
    <mergeCell ref="D2:D3"/>
    <mergeCell ref="E2:E3"/>
    <mergeCell ref="F2:G2"/>
  </mergeCells>
  <phoneticPr fontId="27" type="noConversion"/>
  <printOptions horizontalCentered="1"/>
  <pageMargins left="0.78740157480314965" right="0.78740157480314965" top="1.5748031496062993" bottom="0.98425196850393704" header="0.78740157480314965" footer="0.78740157480314965"/>
  <pageSetup paperSize="9" scale="95" orientation="landscape" verticalDpi="300" r:id="rId1"/>
  <headerFooter alignWithMargins="0">
    <oddHeader>&amp;C&amp;"Times New Roman CE,Félkövér"&amp;12
Az önkormányzat által nyújtott hitel és kölcsön alakulása
 lejárat és eszközök szerinti bontásban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>
    <tabColor rgb="FF92D050"/>
  </sheetPr>
  <dimension ref="A1:J19"/>
  <sheetViews>
    <sheetView zoomScaleNormal="100" workbookViewId="0">
      <selection activeCell="G16" sqref="G16"/>
    </sheetView>
  </sheetViews>
  <sheetFormatPr defaultRowHeight="12.75"/>
  <cols>
    <col min="1" max="1" width="5.5" style="8" customWidth="1"/>
    <col min="2" max="2" width="36.83203125" style="8" customWidth="1"/>
    <col min="3" max="8" width="13.83203125" style="8" customWidth="1"/>
    <col min="9" max="9" width="15.1640625" style="8" customWidth="1"/>
    <col min="10" max="10" width="5" style="8" customWidth="1"/>
    <col min="11" max="16384" width="9.33203125" style="8"/>
  </cols>
  <sheetData>
    <row r="1" spans="1:10" ht="34.5" customHeight="1">
      <c r="A1" s="950" t="str">
        <f>+CONCATENATE("Adósság állomány alakulása lejárat, eszközök, bel- és külföldi hitelezők szerinti bontásban ",CHAR(10),LEFT(ÖSSZEFÜGGÉSEK!A4,4),". december 31-én")</f>
        <v>Adósság állomány alakulása lejárat, eszközök, bel- és külföldi hitelezők szerinti bontásban 
2016. december 31-én</v>
      </c>
      <c r="B1" s="951"/>
      <c r="C1" s="951"/>
      <c r="D1" s="951"/>
      <c r="E1" s="951"/>
      <c r="F1" s="951"/>
      <c r="G1" s="951"/>
      <c r="H1" s="951"/>
      <c r="I1" s="951"/>
      <c r="J1" s="933" t="str">
        <f>+CONCATENATE("4. tájékoztató tábla a ......../",LEFT(ÖSSZEFÜGGÉSEK!A4,4)+1,". (........) önkormányzati rendelethez")</f>
        <v>4. tájékoztató tábla a ......../2017. (........) önkormányzati rendelethez</v>
      </c>
    </row>
    <row r="2" spans="1:10" ht="14.25" thickBot="1">
      <c r="H2" s="952" t="s">
        <v>205</v>
      </c>
      <c r="I2" s="952"/>
      <c r="J2" s="933"/>
    </row>
    <row r="3" spans="1:10" ht="13.5" thickBot="1">
      <c r="A3" s="953" t="s">
        <v>5</v>
      </c>
      <c r="B3" s="955" t="s">
        <v>206</v>
      </c>
      <c r="C3" s="957" t="s">
        <v>207</v>
      </c>
      <c r="D3" s="959" t="s">
        <v>208</v>
      </c>
      <c r="E3" s="960"/>
      <c r="F3" s="960"/>
      <c r="G3" s="960"/>
      <c r="H3" s="960"/>
      <c r="I3" s="961" t="s">
        <v>209</v>
      </c>
      <c r="J3" s="933"/>
    </row>
    <row r="4" spans="1:10" s="20" customFormat="1" ht="42" customHeight="1" thickBot="1">
      <c r="A4" s="954"/>
      <c r="B4" s="956"/>
      <c r="C4" s="958"/>
      <c r="D4" s="183" t="s">
        <v>210</v>
      </c>
      <c r="E4" s="183" t="s">
        <v>211</v>
      </c>
      <c r="F4" s="183" t="s">
        <v>212</v>
      </c>
      <c r="G4" s="184" t="s">
        <v>213</v>
      </c>
      <c r="H4" s="184" t="s">
        <v>214</v>
      </c>
      <c r="I4" s="962"/>
      <c r="J4" s="933"/>
    </row>
    <row r="5" spans="1:10" s="20" customFormat="1" ht="12" customHeight="1" thickBot="1">
      <c r="A5" s="570" t="s">
        <v>409</v>
      </c>
      <c r="B5" s="185" t="s">
        <v>410</v>
      </c>
      <c r="C5" s="185" t="s">
        <v>411</v>
      </c>
      <c r="D5" s="185" t="s">
        <v>412</v>
      </c>
      <c r="E5" s="185" t="s">
        <v>413</v>
      </c>
      <c r="F5" s="185" t="s">
        <v>490</v>
      </c>
      <c r="G5" s="185" t="s">
        <v>491</v>
      </c>
      <c r="H5" s="185" t="s">
        <v>582</v>
      </c>
      <c r="I5" s="186" t="s">
        <v>583</v>
      </c>
      <c r="J5" s="933"/>
    </row>
    <row r="6" spans="1:10" s="20" customFormat="1" ht="18" customHeight="1">
      <c r="A6" s="963" t="s">
        <v>215</v>
      </c>
      <c r="B6" s="964"/>
      <c r="C6" s="964"/>
      <c r="D6" s="964"/>
      <c r="E6" s="964"/>
      <c r="F6" s="964"/>
      <c r="G6" s="964"/>
      <c r="H6" s="964"/>
      <c r="I6" s="965"/>
      <c r="J6" s="933"/>
    </row>
    <row r="7" spans="1:10" ht="15.95" customHeight="1">
      <c r="A7" s="33" t="s">
        <v>7</v>
      </c>
      <c r="B7" s="31" t="s">
        <v>216</v>
      </c>
      <c r="C7" s="23"/>
      <c r="D7" s="23"/>
      <c r="E7" s="23"/>
      <c r="F7" s="23"/>
      <c r="G7" s="188"/>
      <c r="H7" s="189">
        <f t="shared" ref="H7:H13" si="0">SUM(D7:G7)</f>
        <v>0</v>
      </c>
      <c r="I7" s="34">
        <f t="shared" ref="I7:I13" si="1">C7+H7</f>
        <v>0</v>
      </c>
      <c r="J7" s="933"/>
    </row>
    <row r="8" spans="1:10" ht="22.5">
      <c r="A8" s="33" t="s">
        <v>8</v>
      </c>
      <c r="B8" s="31" t="s">
        <v>149</v>
      </c>
      <c r="C8" s="23"/>
      <c r="D8" s="23"/>
      <c r="E8" s="23"/>
      <c r="F8" s="23"/>
      <c r="G8" s="188"/>
      <c r="H8" s="189">
        <f t="shared" si="0"/>
        <v>0</v>
      </c>
      <c r="I8" s="34">
        <f t="shared" si="1"/>
        <v>0</v>
      </c>
      <c r="J8" s="933"/>
    </row>
    <row r="9" spans="1:10" ht="22.5">
      <c r="A9" s="33" t="s">
        <v>9</v>
      </c>
      <c r="B9" s="31" t="s">
        <v>150</v>
      </c>
      <c r="C9" s="23"/>
      <c r="D9" s="23"/>
      <c r="E9" s="23"/>
      <c r="F9" s="23"/>
      <c r="G9" s="188"/>
      <c r="H9" s="189">
        <f t="shared" si="0"/>
        <v>0</v>
      </c>
      <c r="I9" s="34">
        <f t="shared" si="1"/>
        <v>0</v>
      </c>
      <c r="J9" s="933"/>
    </row>
    <row r="10" spans="1:10" ht="15.95" customHeight="1">
      <c r="A10" s="33" t="s">
        <v>10</v>
      </c>
      <c r="B10" s="31" t="s">
        <v>151</v>
      </c>
      <c r="C10" s="23"/>
      <c r="D10" s="23"/>
      <c r="E10" s="23"/>
      <c r="F10" s="23"/>
      <c r="G10" s="188"/>
      <c r="H10" s="189">
        <f t="shared" si="0"/>
        <v>0</v>
      </c>
      <c r="I10" s="34">
        <f t="shared" si="1"/>
        <v>0</v>
      </c>
      <c r="J10" s="933"/>
    </row>
    <row r="11" spans="1:10" ht="22.5">
      <c r="A11" s="33" t="s">
        <v>11</v>
      </c>
      <c r="B11" s="31" t="s">
        <v>152</v>
      </c>
      <c r="C11" s="23"/>
      <c r="D11" s="23"/>
      <c r="E11" s="23"/>
      <c r="F11" s="23"/>
      <c r="G11" s="188"/>
      <c r="H11" s="189">
        <f t="shared" si="0"/>
        <v>0</v>
      </c>
      <c r="I11" s="34">
        <f t="shared" si="1"/>
        <v>0</v>
      </c>
      <c r="J11" s="933"/>
    </row>
    <row r="12" spans="1:10" ht="15.95" customHeight="1">
      <c r="A12" s="35" t="s">
        <v>12</v>
      </c>
      <c r="B12" s="36" t="s">
        <v>217</v>
      </c>
      <c r="C12" s="24"/>
      <c r="D12" s="24"/>
      <c r="E12" s="24"/>
      <c r="F12" s="24"/>
      <c r="G12" s="190"/>
      <c r="H12" s="189">
        <f t="shared" si="0"/>
        <v>0</v>
      </c>
      <c r="I12" s="34">
        <f t="shared" si="1"/>
        <v>0</v>
      </c>
      <c r="J12" s="933"/>
    </row>
    <row r="13" spans="1:10" ht="15.95" customHeight="1" thickBot="1">
      <c r="A13" s="191" t="s">
        <v>13</v>
      </c>
      <c r="B13" s="192" t="s">
        <v>218</v>
      </c>
      <c r="C13" s="194"/>
      <c r="D13" s="194"/>
      <c r="E13" s="194"/>
      <c r="F13" s="194"/>
      <c r="G13" s="195"/>
      <c r="H13" s="189">
        <f t="shared" si="0"/>
        <v>0</v>
      </c>
      <c r="I13" s="34">
        <f t="shared" si="1"/>
        <v>0</v>
      </c>
      <c r="J13" s="933"/>
    </row>
    <row r="14" spans="1:10" s="25" customFormat="1" ht="18" customHeight="1" thickBot="1">
      <c r="A14" s="946" t="s">
        <v>219</v>
      </c>
      <c r="B14" s="947"/>
      <c r="C14" s="37">
        <f t="shared" ref="C14:I14" si="2">SUM(C7:C13)</f>
        <v>0</v>
      </c>
      <c r="D14" s="37">
        <f>SUM(D7:D13)</f>
        <v>0</v>
      </c>
      <c r="E14" s="37">
        <f t="shared" si="2"/>
        <v>0</v>
      </c>
      <c r="F14" s="37">
        <f t="shared" si="2"/>
        <v>0</v>
      </c>
      <c r="G14" s="196">
        <f t="shared" si="2"/>
        <v>0</v>
      </c>
      <c r="H14" s="196">
        <f t="shared" si="2"/>
        <v>0</v>
      </c>
      <c r="I14" s="38">
        <f t="shared" si="2"/>
        <v>0</v>
      </c>
      <c r="J14" s="933"/>
    </row>
    <row r="15" spans="1:10" s="22" customFormat="1" ht="18" customHeight="1">
      <c r="A15" s="943" t="s">
        <v>220</v>
      </c>
      <c r="B15" s="944"/>
      <c r="C15" s="944"/>
      <c r="D15" s="944"/>
      <c r="E15" s="944"/>
      <c r="F15" s="944"/>
      <c r="G15" s="944"/>
      <c r="H15" s="944"/>
      <c r="I15" s="945"/>
      <c r="J15" s="933"/>
    </row>
    <row r="16" spans="1:10" s="22" customFormat="1">
      <c r="A16" s="33" t="s">
        <v>7</v>
      </c>
      <c r="B16" s="31" t="s">
        <v>221</v>
      </c>
      <c r="C16" s="23"/>
      <c r="D16" s="23"/>
      <c r="E16" s="23"/>
      <c r="F16" s="23"/>
      <c r="G16" s="188"/>
      <c r="H16" s="189">
        <f>SUM(D16:G16)</f>
        <v>0</v>
      </c>
      <c r="I16" s="34">
        <f>C16+H16</f>
        <v>0</v>
      </c>
      <c r="J16" s="933"/>
    </row>
    <row r="17" spans="1:10" ht="13.5" thickBot="1">
      <c r="A17" s="191" t="s">
        <v>8</v>
      </c>
      <c r="B17" s="192" t="s">
        <v>218</v>
      </c>
      <c r="C17" s="194"/>
      <c r="D17" s="194"/>
      <c r="E17" s="194"/>
      <c r="F17" s="194"/>
      <c r="G17" s="195"/>
      <c r="H17" s="189">
        <f>SUM(D17:G17)</f>
        <v>0</v>
      </c>
      <c r="I17" s="197">
        <f>C17+H17</f>
        <v>0</v>
      </c>
      <c r="J17" s="933"/>
    </row>
    <row r="18" spans="1:10" ht="15.95" customHeight="1" thickBot="1">
      <c r="A18" s="946" t="s">
        <v>222</v>
      </c>
      <c r="B18" s="947"/>
      <c r="C18" s="37">
        <f t="shared" ref="C18:I18" si="3">SUM(C16:C17)</f>
        <v>0</v>
      </c>
      <c r="D18" s="37">
        <f t="shared" si="3"/>
        <v>0</v>
      </c>
      <c r="E18" s="37">
        <f t="shared" si="3"/>
        <v>0</v>
      </c>
      <c r="F18" s="37">
        <f t="shared" si="3"/>
        <v>0</v>
      </c>
      <c r="G18" s="196">
        <f t="shared" si="3"/>
        <v>0</v>
      </c>
      <c r="H18" s="196">
        <f t="shared" si="3"/>
        <v>0</v>
      </c>
      <c r="I18" s="38">
        <f t="shared" si="3"/>
        <v>0</v>
      </c>
      <c r="J18" s="933"/>
    </row>
    <row r="19" spans="1:10" ht="18" customHeight="1" thickBot="1">
      <c r="A19" s="948" t="s">
        <v>223</v>
      </c>
      <c r="B19" s="949"/>
      <c r="C19" s="198">
        <f t="shared" ref="C19:I19" si="4">C14+C18</f>
        <v>0</v>
      </c>
      <c r="D19" s="198">
        <f t="shared" si="4"/>
        <v>0</v>
      </c>
      <c r="E19" s="198">
        <f t="shared" si="4"/>
        <v>0</v>
      </c>
      <c r="F19" s="198">
        <f t="shared" si="4"/>
        <v>0</v>
      </c>
      <c r="G19" s="198">
        <f t="shared" si="4"/>
        <v>0</v>
      </c>
      <c r="H19" s="198">
        <f t="shared" si="4"/>
        <v>0</v>
      </c>
      <c r="I19" s="38">
        <f t="shared" si="4"/>
        <v>0</v>
      </c>
      <c r="J19" s="933"/>
    </row>
  </sheetData>
  <sheetProtection sheet="1" objects="1" scenarios="1"/>
  <mergeCells count="13">
    <mergeCell ref="A15:I15"/>
    <mergeCell ref="A18:B18"/>
    <mergeCell ref="J1:J19"/>
    <mergeCell ref="A19:B19"/>
    <mergeCell ref="A1:I1"/>
    <mergeCell ref="H2:I2"/>
    <mergeCell ref="A3:A4"/>
    <mergeCell ref="B3:B4"/>
    <mergeCell ref="C3:C4"/>
    <mergeCell ref="D3:H3"/>
    <mergeCell ref="I3:I4"/>
    <mergeCell ref="A6:I6"/>
    <mergeCell ref="A14:B14"/>
  </mergeCells>
  <phoneticPr fontId="27" type="noConversion"/>
  <printOptions horizontalCentered="1"/>
  <pageMargins left="0.78740157480314965" right="0.78740157480314965" top="1.18" bottom="0.98425196850393704" header="0.78740157480314965" footer="0.78740157480314965"/>
  <pageSetup paperSize="9" scale="95" orientation="landscape" horizontalDpi="300" verticalDpi="300" r:id="rId1"/>
  <headerFooter alignWithMargins="0">
    <oddHeader xml:space="preserve">&amp;C&amp;"Times New Roman CE,Félkövér dőlt"&amp;12
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>
    <tabColor rgb="FF92D050"/>
  </sheetPr>
  <dimension ref="A1:D32"/>
  <sheetViews>
    <sheetView view="pageLayout" topLeftCell="A13" zoomScaleNormal="100" workbookViewId="0">
      <selection activeCell="D2" sqref="D2"/>
    </sheetView>
  </sheetViews>
  <sheetFormatPr defaultRowHeight="12.75"/>
  <cols>
    <col min="1" max="1" width="5.83203125" style="204" customWidth="1"/>
    <col min="2" max="2" width="55.83203125" style="1" customWidth="1"/>
    <col min="3" max="4" width="14.83203125" style="1" customWidth="1"/>
    <col min="5" max="16384" width="9.33203125" style="1"/>
  </cols>
  <sheetData>
    <row r="1" spans="1:4" s="19" customFormat="1" ht="15.75" thickBot="1">
      <c r="A1" s="160"/>
      <c r="D1" s="161" t="s">
        <v>769</v>
      </c>
    </row>
    <row r="2" spans="1:4" s="20" customFormat="1" ht="48" customHeight="1" thickBot="1">
      <c r="A2" s="199" t="s">
        <v>5</v>
      </c>
      <c r="B2" s="183" t="s">
        <v>6</v>
      </c>
      <c r="C2" s="183" t="s">
        <v>224</v>
      </c>
      <c r="D2" s="200" t="s">
        <v>225</v>
      </c>
    </row>
    <row r="3" spans="1:4" s="20" customFormat="1" ht="14.1" customHeight="1" thickBot="1">
      <c r="A3" s="201" t="s">
        <v>409</v>
      </c>
      <c r="B3" s="202" t="s">
        <v>410</v>
      </c>
      <c r="C3" s="202" t="s">
        <v>411</v>
      </c>
      <c r="D3" s="203" t="s">
        <v>412</v>
      </c>
    </row>
    <row r="4" spans="1:4" ht="18" customHeight="1">
      <c r="A4" s="671" t="s">
        <v>7</v>
      </c>
      <c r="B4" s="682" t="s">
        <v>226</v>
      </c>
      <c r="C4" s="683">
        <v>460299</v>
      </c>
      <c r="D4" s="684">
        <v>460299</v>
      </c>
    </row>
    <row r="5" spans="1:4" ht="18" customHeight="1">
      <c r="A5" s="672" t="s">
        <v>8</v>
      </c>
      <c r="B5" s="673" t="s">
        <v>227</v>
      </c>
      <c r="C5" s="674"/>
      <c r="D5" s="447"/>
    </row>
    <row r="6" spans="1:4" ht="18" customHeight="1">
      <c r="A6" s="672" t="s">
        <v>9</v>
      </c>
      <c r="B6" s="673" t="s">
        <v>228</v>
      </c>
      <c r="C6" s="674"/>
      <c r="D6" s="447"/>
    </row>
    <row r="7" spans="1:4" ht="18" customHeight="1">
      <c r="A7" s="672" t="s">
        <v>10</v>
      </c>
      <c r="B7" s="673" t="s">
        <v>229</v>
      </c>
      <c r="C7" s="674"/>
      <c r="D7" s="447"/>
    </row>
    <row r="8" spans="1:4" ht="18" customHeight="1">
      <c r="A8" s="672" t="s">
        <v>11</v>
      </c>
      <c r="B8" s="673" t="s">
        <v>230</v>
      </c>
      <c r="C8" s="674">
        <f>C10+C9+C17</f>
        <v>3929500</v>
      </c>
      <c r="D8" s="569">
        <f>D10+D9+D17</f>
        <v>3546000</v>
      </c>
    </row>
    <row r="9" spans="1:4" ht="18" customHeight="1">
      <c r="A9" s="672" t="s">
        <v>12</v>
      </c>
      <c r="B9" s="673" t="s">
        <v>231</v>
      </c>
      <c r="C9" s="674"/>
      <c r="D9" s="447"/>
    </row>
    <row r="10" spans="1:4" ht="18" customHeight="1">
      <c r="A10" s="672" t="s">
        <v>13</v>
      </c>
      <c r="B10" s="675" t="s">
        <v>232</v>
      </c>
      <c r="C10" s="674">
        <f>SUM(C11:C16)</f>
        <v>2929500</v>
      </c>
      <c r="D10" s="569">
        <f>SUM(D11:D16)</f>
        <v>3546000</v>
      </c>
    </row>
    <row r="11" spans="1:4" ht="27.75" customHeight="1">
      <c r="A11" s="672" t="s">
        <v>15</v>
      </c>
      <c r="B11" s="675" t="s">
        <v>757</v>
      </c>
      <c r="C11" s="674">
        <v>1201500</v>
      </c>
      <c r="D11" s="447">
        <v>1336500</v>
      </c>
    </row>
    <row r="12" spans="1:4" ht="27" customHeight="1">
      <c r="A12" s="672" t="s">
        <v>16</v>
      </c>
      <c r="B12" s="675" t="s">
        <v>758</v>
      </c>
      <c r="C12" s="674">
        <v>693000</v>
      </c>
      <c r="D12" s="447">
        <v>850500</v>
      </c>
    </row>
    <row r="13" spans="1:4" ht="30" customHeight="1">
      <c r="A13" s="672" t="s">
        <v>17</v>
      </c>
      <c r="B13" s="675" t="s">
        <v>759</v>
      </c>
      <c r="C13" s="674">
        <v>535500</v>
      </c>
      <c r="D13" s="447">
        <v>621000</v>
      </c>
    </row>
    <row r="14" spans="1:4" ht="22.5">
      <c r="A14" s="672"/>
      <c r="B14" s="675" t="s">
        <v>754</v>
      </c>
      <c r="C14" s="674">
        <v>18000</v>
      </c>
      <c r="D14" s="447">
        <v>18000</v>
      </c>
    </row>
    <row r="15" spans="1:4" ht="18" customHeight="1">
      <c r="A15" s="672"/>
      <c r="B15" s="675" t="s">
        <v>761</v>
      </c>
      <c r="C15" s="674">
        <v>225000</v>
      </c>
      <c r="D15" s="447">
        <v>315000</v>
      </c>
    </row>
    <row r="16" spans="1:4" ht="18" customHeight="1">
      <c r="A16" s="672"/>
      <c r="B16" s="675" t="s">
        <v>760</v>
      </c>
      <c r="C16" s="674">
        <v>256500</v>
      </c>
      <c r="D16" s="447">
        <v>405000</v>
      </c>
    </row>
    <row r="17" spans="1:4" ht="27" customHeight="1">
      <c r="A17" s="672" t="s">
        <v>18</v>
      </c>
      <c r="B17" s="675" t="s">
        <v>233</v>
      </c>
      <c r="C17" s="674">
        <v>1000000</v>
      </c>
      <c r="D17" s="447"/>
    </row>
    <row r="18" spans="1:4" ht="18" customHeight="1">
      <c r="A18" s="672" t="s">
        <v>19</v>
      </c>
      <c r="B18" s="673" t="s">
        <v>234</v>
      </c>
      <c r="C18" s="674"/>
      <c r="D18" s="447"/>
    </row>
    <row r="19" spans="1:4" ht="18" customHeight="1">
      <c r="A19" s="672" t="s">
        <v>20</v>
      </c>
      <c r="B19" s="673" t="s">
        <v>755</v>
      </c>
      <c r="C19" s="674"/>
      <c r="D19" s="447"/>
    </row>
    <row r="20" spans="1:4" ht="18" customHeight="1">
      <c r="A20" s="672" t="s">
        <v>21</v>
      </c>
      <c r="B20" s="673" t="s">
        <v>756</v>
      </c>
      <c r="C20" s="674"/>
      <c r="D20" s="447"/>
    </row>
    <row r="21" spans="1:4" ht="18" customHeight="1">
      <c r="A21" s="672" t="s">
        <v>22</v>
      </c>
      <c r="B21" s="673" t="s">
        <v>235</v>
      </c>
      <c r="C21" s="674"/>
      <c r="D21" s="447"/>
    </row>
    <row r="22" spans="1:4" ht="18" customHeight="1">
      <c r="A22" s="672" t="s">
        <v>23</v>
      </c>
      <c r="B22" s="673" t="s">
        <v>236</v>
      </c>
      <c r="C22" s="674"/>
      <c r="D22" s="447"/>
    </row>
    <row r="23" spans="1:4" ht="18" customHeight="1">
      <c r="A23" s="672" t="s">
        <v>24</v>
      </c>
      <c r="B23" s="676"/>
      <c r="C23" s="413"/>
      <c r="D23" s="447"/>
    </row>
    <row r="24" spans="1:4" ht="18" customHeight="1">
      <c r="A24" s="672" t="s">
        <v>25</v>
      </c>
      <c r="B24" s="187"/>
      <c r="C24" s="413"/>
      <c r="D24" s="447"/>
    </row>
    <row r="25" spans="1:4" ht="18" customHeight="1">
      <c r="A25" s="672" t="s">
        <v>26</v>
      </c>
      <c r="B25" s="187"/>
      <c r="C25" s="413"/>
      <c r="D25" s="447"/>
    </row>
    <row r="26" spans="1:4" ht="18" customHeight="1">
      <c r="A26" s="672" t="s">
        <v>27</v>
      </c>
      <c r="B26" s="187"/>
      <c r="C26" s="413"/>
      <c r="D26" s="447"/>
    </row>
    <row r="27" spans="1:4" ht="18" customHeight="1">
      <c r="A27" s="672" t="s">
        <v>28</v>
      </c>
      <c r="B27" s="187"/>
      <c r="C27" s="413"/>
      <c r="D27" s="447"/>
    </row>
    <row r="28" spans="1:4" ht="18" customHeight="1">
      <c r="A28" s="672" t="s">
        <v>29</v>
      </c>
      <c r="B28" s="187"/>
      <c r="C28" s="413"/>
      <c r="D28" s="447"/>
    </row>
    <row r="29" spans="1:4" ht="18" customHeight="1">
      <c r="A29" s="672" t="s">
        <v>30</v>
      </c>
      <c r="B29" s="187"/>
      <c r="C29" s="413"/>
      <c r="D29" s="447"/>
    </row>
    <row r="30" spans="1:4" ht="25.5" customHeight="1">
      <c r="A30" s="672" t="s">
        <v>31</v>
      </c>
      <c r="B30" s="187"/>
      <c r="C30" s="413"/>
      <c r="D30" s="447"/>
    </row>
    <row r="31" spans="1:4" ht="13.5" thickBot="1">
      <c r="A31" s="685" t="s">
        <v>32</v>
      </c>
      <c r="B31" s="193"/>
      <c r="C31" s="548"/>
      <c r="D31" s="677"/>
    </row>
    <row r="32" spans="1:4" ht="13.5" thickBot="1">
      <c r="A32" s="678" t="s">
        <v>33</v>
      </c>
      <c r="B32" s="679" t="s">
        <v>40</v>
      </c>
      <c r="C32" s="680">
        <f>+C4+C5+C6+C7+C8+C18+C19+C20+C21+C22+C23+C24+C25+C26+C27+C28+C29+C30+C31</f>
        <v>4389799</v>
      </c>
      <c r="D32" s="681">
        <f>+D4+D5+D6+D7+D8+D18+D19+D20+D21+D22+D23+D24+D25+D26+D27+D28+D29+D30+D31</f>
        <v>4006299</v>
      </c>
    </row>
  </sheetData>
  <phoneticPr fontId="27" type="noConversion"/>
  <printOptions horizontalCentered="1"/>
  <pageMargins left="0.78740157480314965" right="0.78740157480314965" top="1.7716535433070868" bottom="0.98425196850393704" header="0.78740157480314965" footer="0.78740157480314965"/>
  <pageSetup paperSize="9" scale="95" orientation="portrait" horizontalDpi="300" verticalDpi="300" r:id="rId1"/>
  <headerFooter alignWithMargins="0">
    <oddHeader>&amp;C&amp;"Times New Roman CE,Félkövér"&amp;14
&amp;12
Az önkormányzat által adott közvetett támogatások
(kedvezmények)
&amp;R&amp;"Times New Roman CE,Félkövér dőlt"&amp;11 5. tájékoztató tábla a ......../2017. (........) önkormányzati rendelethez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>
    <tabColor rgb="FF92D050"/>
  </sheetPr>
  <dimension ref="A1:E36"/>
  <sheetViews>
    <sheetView view="pageLayout" zoomScaleNormal="100" workbookViewId="0">
      <selection activeCell="E15" sqref="E15"/>
    </sheetView>
  </sheetViews>
  <sheetFormatPr defaultRowHeight="12.75"/>
  <cols>
    <col min="1" max="1" width="6.6640625" style="8" customWidth="1"/>
    <col min="2" max="2" width="32.83203125" style="8" customWidth="1"/>
    <col min="3" max="3" width="20.83203125" style="8" customWidth="1"/>
    <col min="4" max="5" width="12.83203125" style="8" customWidth="1"/>
    <col min="6" max="16384" width="9.33203125" style="8"/>
  </cols>
  <sheetData>
    <row r="1" spans="1:5" ht="14.25" thickBot="1">
      <c r="C1" s="205"/>
      <c r="D1" s="205"/>
      <c r="E1" s="205" t="s">
        <v>770</v>
      </c>
    </row>
    <row r="2" spans="1:5" ht="42.75" customHeight="1" thickBot="1">
      <c r="A2" s="206" t="s">
        <v>59</v>
      </c>
      <c r="B2" s="207" t="s">
        <v>237</v>
      </c>
      <c r="C2" s="207" t="s">
        <v>238</v>
      </c>
      <c r="D2" s="208" t="s">
        <v>239</v>
      </c>
      <c r="E2" s="209" t="s">
        <v>240</v>
      </c>
    </row>
    <row r="3" spans="1:5" ht="15.95" customHeight="1">
      <c r="A3" s="210" t="s">
        <v>7</v>
      </c>
      <c r="B3" s="697" t="s">
        <v>773</v>
      </c>
      <c r="C3" s="698" t="s">
        <v>774</v>
      </c>
      <c r="D3" s="704">
        <v>12000000</v>
      </c>
      <c r="E3" s="702">
        <v>8397459</v>
      </c>
    </row>
    <row r="4" spans="1:5" ht="15.95" customHeight="1">
      <c r="A4" s="211" t="s">
        <v>8</v>
      </c>
      <c r="B4" s="699" t="s">
        <v>772</v>
      </c>
      <c r="C4" s="699" t="s">
        <v>774</v>
      </c>
      <c r="D4" s="705">
        <v>200000</v>
      </c>
      <c r="E4" s="703">
        <v>100000</v>
      </c>
    </row>
    <row r="5" spans="1:5" ht="15.95" customHeight="1">
      <c r="A5" s="211" t="s">
        <v>9</v>
      </c>
      <c r="B5" s="699" t="s">
        <v>771</v>
      </c>
      <c r="C5" s="700" t="s">
        <v>774</v>
      </c>
      <c r="D5" s="705">
        <v>300000</v>
      </c>
      <c r="E5" s="703">
        <v>300000</v>
      </c>
    </row>
    <row r="6" spans="1:5" ht="15.95" customHeight="1">
      <c r="A6" s="211" t="s">
        <v>10</v>
      </c>
      <c r="B6" s="699" t="s">
        <v>775</v>
      </c>
      <c r="C6" s="699" t="s">
        <v>774</v>
      </c>
      <c r="D6" s="705">
        <v>100000</v>
      </c>
      <c r="E6" s="703">
        <v>100000</v>
      </c>
    </row>
    <row r="7" spans="1:5" ht="15.95" customHeight="1">
      <c r="A7" s="211" t="s">
        <v>11</v>
      </c>
      <c r="B7" s="699" t="s">
        <v>776</v>
      </c>
      <c r="C7" s="701" t="s">
        <v>774</v>
      </c>
      <c r="D7" s="705">
        <v>500000</v>
      </c>
      <c r="E7" s="703">
        <v>500000</v>
      </c>
    </row>
    <row r="8" spans="1:5" ht="15.95" customHeight="1">
      <c r="A8" s="211" t="s">
        <v>12</v>
      </c>
      <c r="B8" s="699" t="s">
        <v>777</v>
      </c>
      <c r="C8" s="701" t="s">
        <v>774</v>
      </c>
      <c r="D8" s="705">
        <v>2100000</v>
      </c>
      <c r="E8" s="703">
        <v>2100000</v>
      </c>
    </row>
    <row r="9" spans="1:5" ht="15.95" customHeight="1">
      <c r="A9" s="211" t="s">
        <v>13</v>
      </c>
      <c r="B9" s="212" t="s">
        <v>778</v>
      </c>
      <c r="C9" s="212"/>
      <c r="D9" s="213"/>
      <c r="E9" s="214">
        <v>150000</v>
      </c>
    </row>
    <row r="10" spans="1:5" ht="15.95" customHeight="1">
      <c r="A10" s="211" t="s">
        <v>14</v>
      </c>
      <c r="B10" s="212" t="s">
        <v>779</v>
      </c>
      <c r="C10" s="212"/>
      <c r="D10" s="213"/>
      <c r="E10" s="214">
        <v>50000</v>
      </c>
    </row>
    <row r="11" spans="1:5" ht="15.95" customHeight="1">
      <c r="A11" s="211" t="s">
        <v>15</v>
      </c>
      <c r="B11" s="212" t="s">
        <v>780</v>
      </c>
      <c r="C11" s="212"/>
      <c r="D11" s="213"/>
      <c r="E11" s="214">
        <v>20000</v>
      </c>
    </row>
    <row r="12" spans="1:5" ht="15.95" customHeight="1">
      <c r="A12" s="211" t="s">
        <v>16</v>
      </c>
      <c r="B12" s="212" t="s">
        <v>781</v>
      </c>
      <c r="C12" s="212"/>
      <c r="D12" s="213"/>
      <c r="E12" s="214">
        <v>30000</v>
      </c>
    </row>
    <row r="13" spans="1:5" ht="15.95" customHeight="1">
      <c r="A13" s="211" t="s">
        <v>17</v>
      </c>
      <c r="B13" s="212" t="s">
        <v>782</v>
      </c>
      <c r="C13" s="212"/>
      <c r="D13" s="213"/>
      <c r="E13" s="214">
        <v>100000</v>
      </c>
    </row>
    <row r="14" spans="1:5" ht="15.95" customHeight="1">
      <c r="A14" s="211" t="s">
        <v>18</v>
      </c>
      <c r="B14" s="212" t="s">
        <v>783</v>
      </c>
      <c r="C14" s="212"/>
      <c r="D14" s="213"/>
      <c r="E14" s="214">
        <v>200000</v>
      </c>
    </row>
    <row r="15" spans="1:5" ht="15.95" customHeight="1">
      <c r="A15" s="211" t="s">
        <v>19</v>
      </c>
      <c r="B15" s="212"/>
      <c r="C15" s="212"/>
      <c r="D15" s="213"/>
      <c r="E15" s="214"/>
    </row>
    <row r="16" spans="1:5" ht="15.95" customHeight="1">
      <c r="A16" s="211" t="s">
        <v>20</v>
      </c>
      <c r="B16" s="212"/>
      <c r="C16" s="212"/>
      <c r="D16" s="213"/>
      <c r="E16" s="214"/>
    </row>
    <row r="17" spans="1:5" ht="15.95" customHeight="1">
      <c r="A17" s="211" t="s">
        <v>21</v>
      </c>
      <c r="B17" s="212"/>
      <c r="C17" s="212"/>
      <c r="D17" s="213"/>
      <c r="E17" s="214"/>
    </row>
    <row r="18" spans="1:5" ht="15.95" customHeight="1">
      <c r="A18" s="211" t="s">
        <v>22</v>
      </c>
      <c r="B18" s="212"/>
      <c r="C18" s="212"/>
      <c r="D18" s="213"/>
      <c r="E18" s="214"/>
    </row>
    <row r="19" spans="1:5" ht="15.95" customHeight="1">
      <c r="A19" s="211" t="s">
        <v>23</v>
      </c>
      <c r="B19" s="212"/>
      <c r="C19" s="212"/>
      <c r="D19" s="213"/>
      <c r="E19" s="214"/>
    </row>
    <row r="20" spans="1:5" ht="15.95" customHeight="1">
      <c r="A20" s="211" t="s">
        <v>24</v>
      </c>
      <c r="B20" s="212"/>
      <c r="C20" s="212"/>
      <c r="D20" s="213"/>
      <c r="E20" s="214"/>
    </row>
    <row r="21" spans="1:5" ht="15.95" customHeight="1">
      <c r="A21" s="211" t="s">
        <v>25</v>
      </c>
      <c r="B21" s="212"/>
      <c r="C21" s="212"/>
      <c r="D21" s="213"/>
      <c r="E21" s="214"/>
    </row>
    <row r="22" spans="1:5" ht="15.95" customHeight="1">
      <c r="A22" s="211" t="s">
        <v>26</v>
      </c>
      <c r="B22" s="212"/>
      <c r="C22" s="212"/>
      <c r="D22" s="213"/>
      <c r="E22" s="214"/>
    </row>
    <row r="23" spans="1:5" ht="15.95" customHeight="1">
      <c r="A23" s="211" t="s">
        <v>27</v>
      </c>
      <c r="B23" s="212"/>
      <c r="C23" s="212"/>
      <c r="D23" s="213"/>
      <c r="E23" s="214"/>
    </row>
    <row r="24" spans="1:5" ht="15.95" customHeight="1">
      <c r="A24" s="211" t="s">
        <v>28</v>
      </c>
      <c r="B24" s="212"/>
      <c r="C24" s="212"/>
      <c r="D24" s="213"/>
      <c r="E24" s="214"/>
    </row>
    <row r="25" spans="1:5" ht="15.95" customHeight="1">
      <c r="A25" s="211" t="s">
        <v>29</v>
      </c>
      <c r="B25" s="212"/>
      <c r="C25" s="212"/>
      <c r="D25" s="213"/>
      <c r="E25" s="214"/>
    </row>
    <row r="26" spans="1:5" ht="15.95" customHeight="1">
      <c r="A26" s="211" t="s">
        <v>30</v>
      </c>
      <c r="B26" s="212"/>
      <c r="C26" s="212"/>
      <c r="D26" s="213"/>
      <c r="E26" s="214"/>
    </row>
    <row r="27" spans="1:5" ht="15.95" customHeight="1">
      <c r="A27" s="211" t="s">
        <v>31</v>
      </c>
      <c r="B27" s="212"/>
      <c r="C27" s="212"/>
      <c r="D27" s="213"/>
      <c r="E27" s="214"/>
    </row>
    <row r="28" spans="1:5" ht="15.95" customHeight="1">
      <c r="A28" s="211" t="s">
        <v>32</v>
      </c>
      <c r="B28" s="212"/>
      <c r="C28" s="212"/>
      <c r="D28" s="213"/>
      <c r="E28" s="214"/>
    </row>
    <row r="29" spans="1:5" ht="15.95" customHeight="1">
      <c r="A29" s="211" t="s">
        <v>33</v>
      </c>
      <c r="B29" s="212"/>
      <c r="C29" s="212"/>
      <c r="D29" s="213"/>
      <c r="E29" s="214"/>
    </row>
    <row r="30" spans="1:5" ht="15.95" customHeight="1">
      <c r="A30" s="211" t="s">
        <v>34</v>
      </c>
      <c r="B30" s="212"/>
      <c r="C30" s="212"/>
      <c r="D30" s="213"/>
      <c r="E30" s="214"/>
    </row>
    <row r="31" spans="1:5" ht="15.95" customHeight="1">
      <c r="A31" s="211" t="s">
        <v>35</v>
      </c>
      <c r="B31" s="212"/>
      <c r="C31" s="212"/>
      <c r="D31" s="213"/>
      <c r="E31" s="214"/>
    </row>
    <row r="32" spans="1:5" ht="15.95" customHeight="1">
      <c r="A32" s="211" t="s">
        <v>91</v>
      </c>
      <c r="B32" s="212"/>
      <c r="C32" s="212"/>
      <c r="D32" s="213"/>
      <c r="E32" s="214"/>
    </row>
    <row r="33" spans="1:5" ht="15.95" customHeight="1">
      <c r="A33" s="211" t="s">
        <v>187</v>
      </c>
      <c r="B33" s="212"/>
      <c r="C33" s="212"/>
      <c r="D33" s="213"/>
      <c r="E33" s="214"/>
    </row>
    <row r="34" spans="1:5" ht="15.95" customHeight="1">
      <c r="A34" s="211" t="s">
        <v>241</v>
      </c>
      <c r="B34" s="212"/>
      <c r="C34" s="212"/>
      <c r="D34" s="213"/>
      <c r="E34" s="214"/>
    </row>
    <row r="35" spans="1:5" ht="15.95" customHeight="1" thickBot="1">
      <c r="A35" s="215" t="s">
        <v>242</v>
      </c>
      <c r="B35" s="216"/>
      <c r="C35" s="216"/>
      <c r="D35" s="217"/>
      <c r="E35" s="218"/>
    </row>
    <row r="36" spans="1:5" ht="15.95" customHeight="1" thickBot="1">
      <c r="A36" s="966" t="s">
        <v>40</v>
      </c>
      <c r="B36" s="967"/>
      <c r="C36" s="219"/>
      <c r="D36" s="220">
        <f>SUM(D3:D35)</f>
        <v>15200000</v>
      </c>
      <c r="E36" s="221">
        <f>SUM(E3:E35)</f>
        <v>12047459</v>
      </c>
    </row>
  </sheetData>
  <mergeCells count="1">
    <mergeCell ref="A36:B36"/>
  </mergeCells>
  <phoneticPr fontId="27" type="noConversion"/>
  <printOptions horizontalCentered="1"/>
  <pageMargins left="0.78740157480314965" right="0.78740157480314965" top="1.5748031496062993" bottom="0.98425196850393704" header="0.78740157480314965" footer="0.78740157480314965"/>
  <pageSetup paperSize="9" scale="95" fitToWidth="2" orientation="portrait" r:id="rId1"/>
  <headerFooter alignWithMargins="0">
    <oddHeader>&amp;C&amp;"Times New Roman CE,Félkövér"&amp;12
K I M U T A T Á S
a 2016. évi céljelleggel juttatott támogatások felhasználásáról&amp;R&amp;"Times New Roman CE,Félkövér dőlt"&amp;11 6. tájékoztató tábla a ......../2017. (........) önkormányzati rendelethez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>
    <tabColor rgb="FF92D050"/>
  </sheetPr>
  <dimension ref="A1:F23"/>
  <sheetViews>
    <sheetView view="pageBreakPreview" zoomScale="60" zoomScaleNormal="100" workbookViewId="0">
      <selection activeCell="B7" sqref="B6:B7"/>
    </sheetView>
  </sheetViews>
  <sheetFormatPr defaultRowHeight="12.75"/>
  <cols>
    <col min="1" max="1" width="9.33203125" style="287"/>
    <col min="2" max="2" width="58.33203125" style="287" customWidth="1"/>
    <col min="3" max="5" width="25" style="287" customWidth="1"/>
    <col min="6" max="6" width="5.5" style="287" customWidth="1"/>
    <col min="7" max="16384" width="9.33203125" style="287"/>
  </cols>
  <sheetData>
    <row r="1" spans="1:6">
      <c r="A1" s="288"/>
      <c r="F1" s="971" t="str">
        <f>+CONCATENATE("7. tájékoztató tábla a ......../",LEFT(ÖSSZEFÜGGÉSEK!A4,4)+1,". (........) önkormányzati rendelethez")</f>
        <v>7. tájékoztató tábla a ......../2017. (........) önkormányzati rendelethez</v>
      </c>
    </row>
    <row r="2" spans="1:6" ht="33" customHeight="1">
      <c r="A2" s="968" t="str">
        <f>+CONCATENATE("Ibrány Város Önkormányzata tulajdonában álló gazdálkodó szervezetek működéséből származó",CHAR(10),"kötelezettségek és részesedések alakulása a ",LEFT(ÖSSZEFÜGGÉSEK!A4,4),". évben")</f>
        <v>Ibrány Város Önkormányzata tulajdonában álló gazdálkodó szervezetek működéséből származó
kötelezettségek és részesedések alakulása a 2016. évben</v>
      </c>
      <c r="B2" s="968"/>
      <c r="C2" s="968"/>
      <c r="D2" s="968"/>
      <c r="E2" s="968"/>
      <c r="F2" s="971"/>
    </row>
    <row r="3" spans="1:6" ht="16.5" thickBot="1">
      <c r="A3" s="289"/>
      <c r="F3" s="971"/>
    </row>
    <row r="4" spans="1:6" ht="79.5" thickBot="1">
      <c r="A4" s="290" t="s">
        <v>245</v>
      </c>
      <c r="B4" s="291" t="s">
        <v>289</v>
      </c>
      <c r="C4" s="291" t="s">
        <v>290</v>
      </c>
      <c r="D4" s="291" t="s">
        <v>291</v>
      </c>
      <c r="E4" s="292" t="s">
        <v>292</v>
      </c>
      <c r="F4" s="971"/>
    </row>
    <row r="5" spans="1:6" ht="15.75">
      <c r="A5" s="293" t="s">
        <v>7</v>
      </c>
      <c r="B5" s="297"/>
      <c r="C5" s="300"/>
      <c r="D5" s="303"/>
      <c r="E5" s="307"/>
      <c r="F5" s="971"/>
    </row>
    <row r="6" spans="1:6" ht="15.75">
      <c r="A6" s="294" t="s">
        <v>8</v>
      </c>
      <c r="B6" s="298"/>
      <c r="C6" s="301"/>
      <c r="D6" s="304"/>
      <c r="E6" s="308"/>
      <c r="F6" s="971"/>
    </row>
    <row r="7" spans="1:6" ht="15.75">
      <c r="A7" s="294" t="s">
        <v>9</v>
      </c>
      <c r="B7" s="298"/>
      <c r="C7" s="301"/>
      <c r="D7" s="304"/>
      <c r="E7" s="308"/>
      <c r="F7" s="971"/>
    </row>
    <row r="8" spans="1:6" ht="15.75">
      <c r="A8" s="294" t="s">
        <v>10</v>
      </c>
      <c r="B8" s="298"/>
      <c r="C8" s="301"/>
      <c r="D8" s="304"/>
      <c r="E8" s="308"/>
      <c r="F8" s="971"/>
    </row>
    <row r="9" spans="1:6" ht="15.75">
      <c r="A9" s="294" t="s">
        <v>11</v>
      </c>
      <c r="B9" s="298"/>
      <c r="C9" s="301"/>
      <c r="D9" s="304"/>
      <c r="E9" s="308"/>
      <c r="F9" s="971"/>
    </row>
    <row r="10" spans="1:6" ht="15.75">
      <c r="A10" s="294" t="s">
        <v>12</v>
      </c>
      <c r="B10" s="298"/>
      <c r="C10" s="301"/>
      <c r="D10" s="304"/>
      <c r="E10" s="308"/>
      <c r="F10" s="971"/>
    </row>
    <row r="11" spans="1:6" ht="15.75">
      <c r="A11" s="294" t="s">
        <v>13</v>
      </c>
      <c r="B11" s="298"/>
      <c r="C11" s="301"/>
      <c r="D11" s="304"/>
      <c r="E11" s="308"/>
      <c r="F11" s="971"/>
    </row>
    <row r="12" spans="1:6" ht="15.75">
      <c r="A12" s="294" t="s">
        <v>14</v>
      </c>
      <c r="B12" s="298"/>
      <c r="C12" s="301"/>
      <c r="D12" s="304"/>
      <c r="E12" s="308"/>
      <c r="F12" s="971"/>
    </row>
    <row r="13" spans="1:6" ht="15.75">
      <c r="A13" s="294" t="s">
        <v>15</v>
      </c>
      <c r="B13" s="298"/>
      <c r="C13" s="301"/>
      <c r="D13" s="304"/>
      <c r="E13" s="308"/>
      <c r="F13" s="971"/>
    </row>
    <row r="14" spans="1:6" ht="15.75">
      <c r="A14" s="294" t="s">
        <v>16</v>
      </c>
      <c r="B14" s="298"/>
      <c r="C14" s="301"/>
      <c r="D14" s="304"/>
      <c r="E14" s="308"/>
      <c r="F14" s="971"/>
    </row>
    <row r="15" spans="1:6" ht="15.75">
      <c r="A15" s="294" t="s">
        <v>17</v>
      </c>
      <c r="B15" s="298"/>
      <c r="C15" s="301"/>
      <c r="D15" s="304"/>
      <c r="E15" s="308"/>
      <c r="F15" s="971"/>
    </row>
    <row r="16" spans="1:6" ht="15.75">
      <c r="A16" s="294" t="s">
        <v>18</v>
      </c>
      <c r="B16" s="298"/>
      <c r="C16" s="301"/>
      <c r="D16" s="304"/>
      <c r="E16" s="308"/>
      <c r="F16" s="971"/>
    </row>
    <row r="17" spans="1:6" ht="15.75">
      <c r="A17" s="294" t="s">
        <v>19</v>
      </c>
      <c r="B17" s="298"/>
      <c r="C17" s="301"/>
      <c r="D17" s="304"/>
      <c r="E17" s="308"/>
      <c r="F17" s="971"/>
    </row>
    <row r="18" spans="1:6" ht="15.75">
      <c r="A18" s="294" t="s">
        <v>20</v>
      </c>
      <c r="B18" s="298"/>
      <c r="C18" s="301"/>
      <c r="D18" s="304"/>
      <c r="E18" s="308"/>
      <c r="F18" s="971"/>
    </row>
    <row r="19" spans="1:6" ht="15.75">
      <c r="A19" s="294" t="s">
        <v>21</v>
      </c>
      <c r="B19" s="298"/>
      <c r="C19" s="301"/>
      <c r="D19" s="304"/>
      <c r="E19" s="308"/>
      <c r="F19" s="971"/>
    </row>
    <row r="20" spans="1:6" ht="15.75">
      <c r="A20" s="294" t="s">
        <v>22</v>
      </c>
      <c r="B20" s="298"/>
      <c r="C20" s="301"/>
      <c r="D20" s="304"/>
      <c r="E20" s="308"/>
      <c r="F20" s="971"/>
    </row>
    <row r="21" spans="1:6" ht="16.5" thickBot="1">
      <c r="A21" s="295" t="s">
        <v>23</v>
      </c>
      <c r="B21" s="299"/>
      <c r="C21" s="302"/>
      <c r="D21" s="305"/>
      <c r="E21" s="309"/>
      <c r="F21" s="971"/>
    </row>
    <row r="22" spans="1:6" ht="16.5" thickBot="1">
      <c r="A22" s="969" t="s">
        <v>293</v>
      </c>
      <c r="B22" s="970"/>
      <c r="C22" s="296"/>
      <c r="D22" s="306" t="str">
        <f>IF(SUM(D5:D21)=0,"",SUM(D5:D21))</f>
        <v/>
      </c>
      <c r="E22" s="310" t="str">
        <f>IF(SUM(E5:E21)=0,"",SUM(E5:E21))</f>
        <v/>
      </c>
      <c r="F22" s="971"/>
    </row>
    <row r="23" spans="1:6" ht="15.75">
      <c r="A23" s="289"/>
    </row>
  </sheetData>
  <mergeCells count="3">
    <mergeCell ref="A2:E2"/>
    <mergeCell ref="A22:B22"/>
    <mergeCell ref="F1:F22"/>
  </mergeCells>
  <phoneticPr fontId="27" type="noConversion"/>
  <pageMargins left="0.7" right="0.7" top="0.75" bottom="0.75" header="0.3" footer="0.3"/>
  <pageSetup paperSize="9" scale="98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>
  <sheetPr>
    <tabColor rgb="FF92D050"/>
  </sheetPr>
  <dimension ref="A1:C14"/>
  <sheetViews>
    <sheetView zoomScaleNormal="100" workbookViewId="0">
      <selection activeCell="K6" sqref="K6"/>
    </sheetView>
  </sheetViews>
  <sheetFormatPr defaultRowHeight="12.75"/>
  <cols>
    <col min="1" max="1" width="7.6640625" style="8" customWidth="1"/>
    <col min="2" max="2" width="60.83203125" style="8" customWidth="1"/>
    <col min="3" max="3" width="25.6640625" style="8" customWidth="1"/>
    <col min="4" max="16384" width="9.33203125" style="8"/>
  </cols>
  <sheetData>
    <row r="1" spans="1:3" ht="15">
      <c r="C1" s="264" t="str">
        <f>+CONCATENATE("8. sz. tájékoztató tábla a ……./",LEFT(ÖSSZEFÜGGÉSEK!A4,4)+1,".(………)  önkormányzati rendelethez")</f>
        <v>8. sz. tájékoztató tábla a ……./2017.(………)  önkormányzati rendelethez</v>
      </c>
    </row>
    <row r="2" spans="1:3" ht="14.25">
      <c r="A2" s="265"/>
      <c r="B2" s="265"/>
      <c r="C2" s="265"/>
    </row>
    <row r="3" spans="1:3" ht="33.75" customHeight="1">
      <c r="A3" s="972" t="s">
        <v>294</v>
      </c>
      <c r="B3" s="972"/>
      <c r="C3" s="972"/>
    </row>
    <row r="4" spans="1:3" ht="13.5" thickBot="1">
      <c r="C4" s="266"/>
    </row>
    <row r="5" spans="1:3" s="270" customFormat="1" ht="43.5" customHeight="1" thickBot="1">
      <c r="A5" s="267" t="s">
        <v>5</v>
      </c>
      <c r="B5" s="268" t="s">
        <v>52</v>
      </c>
      <c r="C5" s="269" t="s">
        <v>295</v>
      </c>
    </row>
    <row r="6" spans="1:3" ht="28.5" customHeight="1">
      <c r="A6" s="271" t="s">
        <v>7</v>
      </c>
      <c r="B6" s="272" t="str">
        <f>+CONCATENATE("Pénzkészlet ",LEFT(ÖSSZEFÜGGÉSEK!A4,4),". január 1-jén",CHAR(10),"ebből:")</f>
        <v>Pénzkészlet 2016. január 1-jén
ebből:</v>
      </c>
      <c r="C6" s="273">
        <f>C7+C8</f>
        <v>50118159</v>
      </c>
    </row>
    <row r="7" spans="1:3" ht="18" customHeight="1">
      <c r="A7" s="274" t="s">
        <v>8</v>
      </c>
      <c r="B7" s="275" t="s">
        <v>296</v>
      </c>
      <c r="C7" s="276">
        <v>48668724</v>
      </c>
    </row>
    <row r="8" spans="1:3" ht="18" customHeight="1">
      <c r="A8" s="274" t="s">
        <v>9</v>
      </c>
      <c r="B8" s="275" t="s">
        <v>297</v>
      </c>
      <c r="C8" s="276">
        <v>1449435</v>
      </c>
    </row>
    <row r="9" spans="1:3" ht="18" customHeight="1">
      <c r="A9" s="274" t="s">
        <v>10</v>
      </c>
      <c r="B9" s="277" t="s">
        <v>298</v>
      </c>
      <c r="C9" s="276">
        <f>+'[4]1.1.sz.mell.'!E85</f>
        <v>1409341198</v>
      </c>
    </row>
    <row r="10" spans="1:3" ht="18" customHeight="1">
      <c r="A10" s="278" t="s">
        <v>11</v>
      </c>
      <c r="B10" s="279" t="s">
        <v>299</v>
      </c>
      <c r="C10" s="280">
        <f>+'[4]1.1.sz.mell.'!E146</f>
        <v>1227620044</v>
      </c>
    </row>
    <row r="11" spans="1:3" ht="18" customHeight="1" thickBot="1">
      <c r="A11" s="284" t="s">
        <v>12</v>
      </c>
      <c r="B11" s="646" t="s">
        <v>726</v>
      </c>
      <c r="C11" s="286">
        <f>-(+C6+C9-C10-C13-C14)</f>
        <v>-148461170</v>
      </c>
    </row>
    <row r="12" spans="1:3" ht="25.5" customHeight="1">
      <c r="A12" s="281" t="s">
        <v>13</v>
      </c>
      <c r="B12" s="282" t="str">
        <f>+CONCATENATE("Záró pénzkészlet ",LEFT(ÖSSZEFÜGGÉSEK!A4,4),". december 31-én",CHAR(10),"ebből:")</f>
        <v>Záró pénzkészlet 2016. december 31-én
ebből:</v>
      </c>
      <c r="C12" s="283">
        <f>C6+C9-C10+C11</f>
        <v>83378143</v>
      </c>
    </row>
    <row r="13" spans="1:3" ht="18" customHeight="1">
      <c r="A13" s="274" t="s">
        <v>14</v>
      </c>
      <c r="B13" s="275" t="s">
        <v>296</v>
      </c>
      <c r="C13" s="276">
        <v>80970568</v>
      </c>
    </row>
    <row r="14" spans="1:3" ht="18" customHeight="1" thickBot="1">
      <c r="A14" s="284" t="s">
        <v>15</v>
      </c>
      <c r="B14" s="285" t="s">
        <v>297</v>
      </c>
      <c r="C14" s="286">
        <v>2407575</v>
      </c>
    </row>
  </sheetData>
  <mergeCells count="1">
    <mergeCell ref="A3:C3"/>
  </mergeCells>
  <phoneticPr fontId="27" type="noConversion"/>
  <conditionalFormatting sqref="C12">
    <cfRule type="cellIs" dxfId="1" priority="2" stopIfTrue="1" operator="notEqual">
      <formula>SUM(C13:C14)</formula>
    </cfRule>
  </conditionalFormatting>
  <conditionalFormatting sqref="C12">
    <cfRule type="cellIs" dxfId="0" priority="1" stopIfTrue="1" operator="notEqual">
      <formula>SUM(C13:C14)</formula>
    </cfRule>
  </conditionalFormatting>
  <printOptions horizontalCentered="1"/>
  <pageMargins left="0.78740157480314965" right="0.78740157480314965" top="0.98425196850393704" bottom="0.98425196850393704" header="0.78740157480314965" footer="0.78740157480314965"/>
  <pageSetup paperSize="9" scale="95" orientation="portrait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>
  <dimension ref="A1"/>
  <sheetViews>
    <sheetView topLeftCell="A13" workbookViewId="0">
      <selection sqref="A1:E1"/>
    </sheetView>
  </sheetViews>
  <sheetFormatPr defaultRowHeight="12.75"/>
  <sheetData/>
  <phoneticPr fontId="2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I161"/>
  <sheetViews>
    <sheetView view="pageLayout" topLeftCell="A118" zoomScaleNormal="100" zoomScaleSheetLayoutView="100" workbookViewId="0">
      <selection activeCell="F4" sqref="F4"/>
    </sheetView>
  </sheetViews>
  <sheetFormatPr defaultRowHeight="15.75"/>
  <cols>
    <col min="1" max="1" width="9.5" style="381" customWidth="1"/>
    <col min="2" max="2" width="60.83203125" style="381" customWidth="1"/>
    <col min="3" max="5" width="15.83203125" style="382" customWidth="1"/>
    <col min="6" max="16384" width="9.33203125" style="392"/>
  </cols>
  <sheetData>
    <row r="1" spans="1:5" ht="15.95" customHeight="1">
      <c r="A1" s="823" t="s">
        <v>4</v>
      </c>
      <c r="B1" s="823"/>
      <c r="C1" s="823"/>
      <c r="D1" s="823"/>
      <c r="E1" s="823"/>
    </row>
    <row r="2" spans="1:5" ht="15.95" customHeight="1" thickBot="1">
      <c r="A2" s="45" t="s">
        <v>111</v>
      </c>
      <c r="B2" s="45"/>
      <c r="C2" s="379"/>
      <c r="D2" s="379"/>
      <c r="E2" s="379" t="s">
        <v>752</v>
      </c>
    </row>
    <row r="3" spans="1:5" ht="15.95" customHeight="1">
      <c r="A3" s="824" t="s">
        <v>59</v>
      </c>
      <c r="B3" s="826" t="s">
        <v>6</v>
      </c>
      <c r="C3" s="828" t="str">
        <f>+'1.1.sz.mell.'!C3:E3</f>
        <v>2016. évi</v>
      </c>
      <c r="D3" s="828"/>
      <c r="E3" s="829"/>
    </row>
    <row r="4" spans="1:5" ht="38.1" customHeight="1" thickBot="1">
      <c r="A4" s="825"/>
      <c r="B4" s="827"/>
      <c r="C4" s="47" t="s">
        <v>178</v>
      </c>
      <c r="D4" s="47" t="s">
        <v>183</v>
      </c>
      <c r="E4" s="48" t="s">
        <v>184</v>
      </c>
    </row>
    <row r="5" spans="1:5" s="393" customFormat="1" ht="12" customHeight="1" thickBot="1">
      <c r="A5" s="357" t="s">
        <v>409</v>
      </c>
      <c r="B5" s="358" t="s">
        <v>410</v>
      </c>
      <c r="C5" s="358" t="s">
        <v>411</v>
      </c>
      <c r="D5" s="358" t="s">
        <v>412</v>
      </c>
      <c r="E5" s="404" t="s">
        <v>413</v>
      </c>
    </row>
    <row r="6" spans="1:5" s="394" customFormat="1" ht="12" customHeight="1" thickBot="1">
      <c r="A6" s="352" t="s">
        <v>7</v>
      </c>
      <c r="B6" s="353" t="s">
        <v>301</v>
      </c>
      <c r="C6" s="384">
        <f>SUM(C7:C12)</f>
        <v>0</v>
      </c>
      <c r="D6" s="384">
        <f>SUM(D7:D12)</f>
        <v>0</v>
      </c>
      <c r="E6" s="367">
        <f>SUM(E7:E12)</f>
        <v>0</v>
      </c>
    </row>
    <row r="7" spans="1:5" s="394" customFormat="1" ht="12" customHeight="1">
      <c r="A7" s="347" t="s">
        <v>71</v>
      </c>
      <c r="B7" s="395" t="s">
        <v>302</v>
      </c>
      <c r="C7" s="386"/>
      <c r="D7" s="386"/>
      <c r="E7" s="369"/>
    </row>
    <row r="8" spans="1:5" s="394" customFormat="1" ht="12" customHeight="1">
      <c r="A8" s="346" t="s">
        <v>72</v>
      </c>
      <c r="B8" s="396" t="s">
        <v>303</v>
      </c>
      <c r="C8" s="385"/>
      <c r="D8" s="385"/>
      <c r="E8" s="368"/>
    </row>
    <row r="9" spans="1:5" s="394" customFormat="1" ht="12" customHeight="1">
      <c r="A9" s="346" t="s">
        <v>73</v>
      </c>
      <c r="B9" s="396" t="s">
        <v>304</v>
      </c>
      <c r="C9" s="385"/>
      <c r="D9" s="385"/>
      <c r="E9" s="368"/>
    </row>
    <row r="10" spans="1:5" s="394" customFormat="1" ht="12" customHeight="1">
      <c r="A10" s="346" t="s">
        <v>74</v>
      </c>
      <c r="B10" s="396" t="s">
        <v>305</v>
      </c>
      <c r="C10" s="385"/>
      <c r="D10" s="385"/>
      <c r="E10" s="368"/>
    </row>
    <row r="11" spans="1:5" s="394" customFormat="1" ht="12" customHeight="1">
      <c r="A11" s="346" t="s">
        <v>107</v>
      </c>
      <c r="B11" s="396" t="s">
        <v>306</v>
      </c>
      <c r="C11" s="385"/>
      <c r="D11" s="385"/>
      <c r="E11" s="368"/>
    </row>
    <row r="12" spans="1:5" s="394" customFormat="1" ht="12" customHeight="1" thickBot="1">
      <c r="A12" s="348" t="s">
        <v>75</v>
      </c>
      <c r="B12" s="397" t="s">
        <v>307</v>
      </c>
      <c r="C12" s="387"/>
      <c r="D12" s="387"/>
      <c r="E12" s="370"/>
    </row>
    <row r="13" spans="1:5" s="394" customFormat="1" ht="12" customHeight="1" thickBot="1">
      <c r="A13" s="352" t="s">
        <v>8</v>
      </c>
      <c r="B13" s="374" t="s">
        <v>308</v>
      </c>
      <c r="C13" s="384">
        <f>SUM(C14:C18)</f>
        <v>0</v>
      </c>
      <c r="D13" s="384">
        <f>SUM(D14:D18)</f>
        <v>999749</v>
      </c>
      <c r="E13" s="367">
        <f>SUM(E14:E18)</f>
        <v>999749</v>
      </c>
    </row>
    <row r="14" spans="1:5" s="394" customFormat="1" ht="12" customHeight="1">
      <c r="A14" s="347" t="s">
        <v>77</v>
      </c>
      <c r="B14" s="395" t="s">
        <v>309</v>
      </c>
      <c r="C14" s="386"/>
      <c r="D14" s="386"/>
      <c r="E14" s="369"/>
    </row>
    <row r="15" spans="1:5" s="394" customFormat="1" ht="12" customHeight="1">
      <c r="A15" s="346" t="s">
        <v>78</v>
      </c>
      <c r="B15" s="396" t="s">
        <v>310</v>
      </c>
      <c r="C15" s="385"/>
      <c r="D15" s="385"/>
      <c r="E15" s="368"/>
    </row>
    <row r="16" spans="1:5" s="394" customFormat="1" ht="12" customHeight="1">
      <c r="A16" s="346" t="s">
        <v>79</v>
      </c>
      <c r="B16" s="396" t="s">
        <v>311</v>
      </c>
      <c r="C16" s="385"/>
      <c r="D16" s="385"/>
      <c r="E16" s="368"/>
    </row>
    <row r="17" spans="1:5" s="394" customFormat="1" ht="12" customHeight="1">
      <c r="A17" s="346" t="s">
        <v>80</v>
      </c>
      <c r="B17" s="396" t="s">
        <v>312</v>
      </c>
      <c r="C17" s="385"/>
      <c r="D17" s="385"/>
      <c r="E17" s="368"/>
    </row>
    <row r="18" spans="1:5" s="394" customFormat="1" ht="12" customHeight="1">
      <c r="A18" s="346" t="s">
        <v>81</v>
      </c>
      <c r="B18" s="396" t="s">
        <v>313</v>
      </c>
      <c r="C18" s="385"/>
      <c r="D18" s="385">
        <v>999749</v>
      </c>
      <c r="E18" s="368">
        <f>+'6.4. sz. mell'!E20+'7.4. sz. mell'!E22+'8.1.3. sz. mell.'!E22+'8.2.3. sz. mell.'!E21+'8.3.3. sz. mell.'!E22</f>
        <v>999749</v>
      </c>
    </row>
    <row r="19" spans="1:5" s="394" customFormat="1" ht="12" customHeight="1" thickBot="1">
      <c r="A19" s="348" t="s">
        <v>88</v>
      </c>
      <c r="B19" s="397" t="s">
        <v>314</v>
      </c>
      <c r="C19" s="387"/>
      <c r="D19" s="387"/>
      <c r="E19" s="370"/>
    </row>
    <row r="20" spans="1:5" s="394" customFormat="1" ht="12" customHeight="1" thickBot="1">
      <c r="A20" s="352" t="s">
        <v>9</v>
      </c>
      <c r="B20" s="353" t="s">
        <v>315</v>
      </c>
      <c r="C20" s="384">
        <f>SUM(C21:C25)</f>
        <v>0</v>
      </c>
      <c r="D20" s="384">
        <f>SUM(D21:D25)</f>
        <v>0</v>
      </c>
      <c r="E20" s="367">
        <f>SUM(E21:E25)</f>
        <v>0</v>
      </c>
    </row>
    <row r="21" spans="1:5" s="394" customFormat="1" ht="12" customHeight="1">
      <c r="A21" s="347" t="s">
        <v>60</v>
      </c>
      <c r="B21" s="395" t="s">
        <v>316</v>
      </c>
      <c r="C21" s="386"/>
      <c r="D21" s="386"/>
      <c r="E21" s="369"/>
    </row>
    <row r="22" spans="1:5" s="394" customFormat="1" ht="12" customHeight="1">
      <c r="A22" s="346" t="s">
        <v>61</v>
      </c>
      <c r="B22" s="396" t="s">
        <v>317</v>
      </c>
      <c r="C22" s="385"/>
      <c r="D22" s="385"/>
      <c r="E22" s="368"/>
    </row>
    <row r="23" spans="1:5" s="394" customFormat="1" ht="12" customHeight="1">
      <c r="A23" s="346" t="s">
        <v>62</v>
      </c>
      <c r="B23" s="396" t="s">
        <v>318</v>
      </c>
      <c r="C23" s="385"/>
      <c r="D23" s="385"/>
      <c r="E23" s="368"/>
    </row>
    <row r="24" spans="1:5" s="394" customFormat="1" ht="12" customHeight="1">
      <c r="A24" s="346" t="s">
        <v>63</v>
      </c>
      <c r="B24" s="396" t="s">
        <v>319</v>
      </c>
      <c r="C24" s="385"/>
      <c r="D24" s="385"/>
      <c r="E24" s="368"/>
    </row>
    <row r="25" spans="1:5" s="394" customFormat="1" ht="12" customHeight="1">
      <c r="A25" s="346" t="s">
        <v>121</v>
      </c>
      <c r="B25" s="396" t="s">
        <v>320</v>
      </c>
      <c r="C25" s="385"/>
      <c r="D25" s="385"/>
      <c r="E25" s="368"/>
    </row>
    <row r="26" spans="1:5" s="394" customFormat="1" ht="12" customHeight="1" thickBot="1">
      <c r="A26" s="348" t="s">
        <v>122</v>
      </c>
      <c r="B26" s="397" t="s">
        <v>321</v>
      </c>
      <c r="C26" s="387"/>
      <c r="D26" s="387"/>
      <c r="E26" s="370"/>
    </row>
    <row r="27" spans="1:5" s="394" customFormat="1" ht="12" customHeight="1" thickBot="1">
      <c r="A27" s="352" t="s">
        <v>123</v>
      </c>
      <c r="B27" s="353" t="s">
        <v>718</v>
      </c>
      <c r="C27" s="390">
        <f>SUM(C28:C33)</f>
        <v>0</v>
      </c>
      <c r="D27" s="390">
        <f>SUM(D28:D33)</f>
        <v>0</v>
      </c>
      <c r="E27" s="403">
        <f>SUM(E28:E33)</f>
        <v>0</v>
      </c>
    </row>
    <row r="28" spans="1:5" s="394" customFormat="1" ht="12" customHeight="1">
      <c r="A28" s="347" t="s">
        <v>322</v>
      </c>
      <c r="B28" s="395" t="s">
        <v>722</v>
      </c>
      <c r="C28" s="386"/>
      <c r="D28" s="386">
        <f>+D29+D30</f>
        <v>0</v>
      </c>
      <c r="E28" s="369">
        <f>+E29+E30</f>
        <v>0</v>
      </c>
    </row>
    <row r="29" spans="1:5" s="394" customFormat="1" ht="12" customHeight="1">
      <c r="A29" s="346" t="s">
        <v>323</v>
      </c>
      <c r="B29" s="396" t="s">
        <v>723</v>
      </c>
      <c r="C29" s="385"/>
      <c r="D29" s="385"/>
      <c r="E29" s="368"/>
    </row>
    <row r="30" spans="1:5" s="394" customFormat="1" ht="12" customHeight="1">
      <c r="A30" s="346" t="s">
        <v>324</v>
      </c>
      <c r="B30" s="396" t="s">
        <v>724</v>
      </c>
      <c r="C30" s="385"/>
      <c r="D30" s="385"/>
      <c r="E30" s="368"/>
    </row>
    <row r="31" spans="1:5" s="394" customFormat="1" ht="12" customHeight="1">
      <c r="A31" s="346" t="s">
        <v>719</v>
      </c>
      <c r="B31" s="396" t="s">
        <v>725</v>
      </c>
      <c r="C31" s="385"/>
      <c r="D31" s="385"/>
      <c r="E31" s="368"/>
    </row>
    <row r="32" spans="1:5" s="394" customFormat="1" ht="12" customHeight="1">
      <c r="A32" s="346" t="s">
        <v>720</v>
      </c>
      <c r="B32" s="396" t="s">
        <v>325</v>
      </c>
      <c r="C32" s="385"/>
      <c r="D32" s="385"/>
      <c r="E32" s="368"/>
    </row>
    <row r="33" spans="1:5" s="394" customFormat="1" ht="12" customHeight="1" thickBot="1">
      <c r="A33" s="348" t="s">
        <v>721</v>
      </c>
      <c r="B33" s="376" t="s">
        <v>326</v>
      </c>
      <c r="C33" s="387"/>
      <c r="D33" s="387"/>
      <c r="E33" s="370"/>
    </row>
    <row r="34" spans="1:5" s="394" customFormat="1" ht="12" customHeight="1" thickBot="1">
      <c r="A34" s="352" t="s">
        <v>11</v>
      </c>
      <c r="B34" s="353" t="s">
        <v>327</v>
      </c>
      <c r="C34" s="384">
        <f>SUM(C35:C44)</f>
        <v>0</v>
      </c>
      <c r="D34" s="384">
        <f>SUM(D35:D44)</f>
        <v>0</v>
      </c>
      <c r="E34" s="367">
        <f>SUM(E35:E44)</f>
        <v>0</v>
      </c>
    </row>
    <row r="35" spans="1:5" s="394" customFormat="1" ht="12" customHeight="1">
      <c r="A35" s="347" t="s">
        <v>64</v>
      </c>
      <c r="B35" s="395" t="s">
        <v>328</v>
      </c>
      <c r="C35" s="386"/>
      <c r="D35" s="386"/>
      <c r="E35" s="369"/>
    </row>
    <row r="36" spans="1:5" s="394" customFormat="1" ht="12" customHeight="1">
      <c r="A36" s="346" t="s">
        <v>65</v>
      </c>
      <c r="B36" s="396" t="s">
        <v>329</v>
      </c>
      <c r="C36" s="385"/>
      <c r="D36" s="385"/>
      <c r="E36" s="368"/>
    </row>
    <row r="37" spans="1:5" s="394" customFormat="1" ht="12" customHeight="1">
      <c r="A37" s="346" t="s">
        <v>66</v>
      </c>
      <c r="B37" s="396" t="s">
        <v>330</v>
      </c>
      <c r="C37" s="385"/>
      <c r="D37" s="385"/>
      <c r="E37" s="368"/>
    </row>
    <row r="38" spans="1:5" s="394" customFormat="1" ht="12" customHeight="1">
      <c r="A38" s="346" t="s">
        <v>125</v>
      </c>
      <c r="B38" s="396" t="s">
        <v>331</v>
      </c>
      <c r="C38" s="385"/>
      <c r="D38" s="385"/>
      <c r="E38" s="368"/>
    </row>
    <row r="39" spans="1:5" s="394" customFormat="1" ht="12" customHeight="1">
      <c r="A39" s="346" t="s">
        <v>126</v>
      </c>
      <c r="B39" s="396" t="s">
        <v>332</v>
      </c>
      <c r="C39" s="385"/>
      <c r="D39" s="385"/>
      <c r="E39" s="368"/>
    </row>
    <row r="40" spans="1:5" s="394" customFormat="1" ht="12" customHeight="1">
      <c r="A40" s="346" t="s">
        <v>127</v>
      </c>
      <c r="B40" s="396" t="s">
        <v>333</v>
      </c>
      <c r="C40" s="385"/>
      <c r="D40" s="385"/>
      <c r="E40" s="368"/>
    </row>
    <row r="41" spans="1:5" s="394" customFormat="1" ht="12" customHeight="1">
      <c r="A41" s="346" t="s">
        <v>128</v>
      </c>
      <c r="B41" s="396" t="s">
        <v>334</v>
      </c>
      <c r="C41" s="385"/>
      <c r="D41" s="385"/>
      <c r="E41" s="368"/>
    </row>
    <row r="42" spans="1:5" s="394" customFormat="1" ht="12" customHeight="1">
      <c r="A42" s="346" t="s">
        <v>129</v>
      </c>
      <c r="B42" s="396" t="s">
        <v>335</v>
      </c>
      <c r="C42" s="385"/>
      <c r="D42" s="385"/>
      <c r="E42" s="368"/>
    </row>
    <row r="43" spans="1:5" s="394" customFormat="1" ht="12" customHeight="1">
      <c r="A43" s="346" t="s">
        <v>336</v>
      </c>
      <c r="B43" s="396" t="s">
        <v>337</v>
      </c>
      <c r="C43" s="388"/>
      <c r="D43" s="388"/>
      <c r="E43" s="371"/>
    </row>
    <row r="44" spans="1:5" s="394" customFormat="1" ht="12" customHeight="1" thickBot="1">
      <c r="A44" s="348" t="s">
        <v>338</v>
      </c>
      <c r="B44" s="397" t="s">
        <v>339</v>
      </c>
      <c r="C44" s="389"/>
      <c r="D44" s="389"/>
      <c r="E44" s="372"/>
    </row>
    <row r="45" spans="1:5" s="394" customFormat="1" ht="12" customHeight="1" thickBot="1">
      <c r="A45" s="352" t="s">
        <v>12</v>
      </c>
      <c r="B45" s="353" t="s">
        <v>340</v>
      </c>
      <c r="C45" s="384">
        <f>SUM(C46:C50)</f>
        <v>0</v>
      </c>
      <c r="D45" s="384">
        <f>SUM(D46:D50)</f>
        <v>0</v>
      </c>
      <c r="E45" s="367">
        <f>SUM(E46:E50)</f>
        <v>0</v>
      </c>
    </row>
    <row r="46" spans="1:5" s="394" customFormat="1" ht="12" customHeight="1">
      <c r="A46" s="347" t="s">
        <v>67</v>
      </c>
      <c r="B46" s="395" t="s">
        <v>341</v>
      </c>
      <c r="C46" s="405"/>
      <c r="D46" s="405"/>
      <c r="E46" s="373"/>
    </row>
    <row r="47" spans="1:5" s="394" customFormat="1" ht="12" customHeight="1">
      <c r="A47" s="346" t="s">
        <v>68</v>
      </c>
      <c r="B47" s="396" t="s">
        <v>342</v>
      </c>
      <c r="C47" s="388"/>
      <c r="D47" s="388"/>
      <c r="E47" s="371"/>
    </row>
    <row r="48" spans="1:5" s="394" customFormat="1" ht="12" customHeight="1">
      <c r="A48" s="346" t="s">
        <v>343</v>
      </c>
      <c r="B48" s="396" t="s">
        <v>344</v>
      </c>
      <c r="C48" s="388"/>
      <c r="D48" s="388"/>
      <c r="E48" s="371"/>
    </row>
    <row r="49" spans="1:5" s="394" customFormat="1" ht="12" customHeight="1">
      <c r="A49" s="346" t="s">
        <v>345</v>
      </c>
      <c r="B49" s="396" t="s">
        <v>346</v>
      </c>
      <c r="C49" s="388"/>
      <c r="D49" s="388"/>
      <c r="E49" s="371"/>
    </row>
    <row r="50" spans="1:5" s="394" customFormat="1" ht="12" customHeight="1" thickBot="1">
      <c r="A50" s="348" t="s">
        <v>347</v>
      </c>
      <c r="B50" s="397" t="s">
        <v>348</v>
      </c>
      <c r="C50" s="389"/>
      <c r="D50" s="389"/>
      <c r="E50" s="372"/>
    </row>
    <row r="51" spans="1:5" s="394" customFormat="1" ht="17.25" customHeight="1" thickBot="1">
      <c r="A51" s="352" t="s">
        <v>130</v>
      </c>
      <c r="B51" s="353" t="s">
        <v>349</v>
      </c>
      <c r="C51" s="384">
        <f>SUM(C52:C54)</f>
        <v>0</v>
      </c>
      <c r="D51" s="384">
        <f>SUM(D52:D54)</f>
        <v>0</v>
      </c>
      <c r="E51" s="367">
        <f>SUM(E52:E54)</f>
        <v>0</v>
      </c>
    </row>
    <row r="52" spans="1:5" s="394" customFormat="1" ht="12" customHeight="1">
      <c r="A52" s="347" t="s">
        <v>69</v>
      </c>
      <c r="B52" s="395" t="s">
        <v>350</v>
      </c>
      <c r="C52" s="386"/>
      <c r="D52" s="386"/>
      <c r="E52" s="369"/>
    </row>
    <row r="53" spans="1:5" s="394" customFormat="1" ht="12" customHeight="1">
      <c r="A53" s="346" t="s">
        <v>70</v>
      </c>
      <c r="B53" s="396" t="s">
        <v>351</v>
      </c>
      <c r="C53" s="385"/>
      <c r="D53" s="385"/>
      <c r="E53" s="368"/>
    </row>
    <row r="54" spans="1:5" s="394" customFormat="1" ht="12" customHeight="1">
      <c r="A54" s="346" t="s">
        <v>352</v>
      </c>
      <c r="B54" s="396" t="s">
        <v>353</v>
      </c>
      <c r="C54" s="385"/>
      <c r="D54" s="385"/>
      <c r="E54" s="368"/>
    </row>
    <row r="55" spans="1:5" s="394" customFormat="1" ht="12" customHeight="1" thickBot="1">
      <c r="A55" s="348" t="s">
        <v>354</v>
      </c>
      <c r="B55" s="397" t="s">
        <v>355</v>
      </c>
      <c r="C55" s="387"/>
      <c r="D55" s="387"/>
      <c r="E55" s="370"/>
    </row>
    <row r="56" spans="1:5" s="394" customFormat="1" ht="12" customHeight="1" thickBot="1">
      <c r="A56" s="352" t="s">
        <v>14</v>
      </c>
      <c r="B56" s="374" t="s">
        <v>356</v>
      </c>
      <c r="C56" s="384">
        <f>SUM(C57:C59)</f>
        <v>0</v>
      </c>
      <c r="D56" s="384">
        <f>SUM(D57:D59)</f>
        <v>0</v>
      </c>
      <c r="E56" s="367">
        <f>SUM(E57:E59)</f>
        <v>0</v>
      </c>
    </row>
    <row r="57" spans="1:5" s="394" customFormat="1" ht="12" customHeight="1">
      <c r="A57" s="347" t="s">
        <v>131</v>
      </c>
      <c r="B57" s="395" t="s">
        <v>357</v>
      </c>
      <c r="C57" s="388"/>
      <c r="D57" s="388"/>
      <c r="E57" s="371"/>
    </row>
    <row r="58" spans="1:5" s="394" customFormat="1" ht="12" customHeight="1">
      <c r="A58" s="346" t="s">
        <v>132</v>
      </c>
      <c r="B58" s="396" t="s">
        <v>358</v>
      </c>
      <c r="C58" s="388"/>
      <c r="D58" s="388"/>
      <c r="E58" s="371"/>
    </row>
    <row r="59" spans="1:5" s="394" customFormat="1" ht="12" customHeight="1">
      <c r="A59" s="346" t="s">
        <v>157</v>
      </c>
      <c r="B59" s="396" t="s">
        <v>359</v>
      </c>
      <c r="C59" s="388"/>
      <c r="D59" s="388"/>
      <c r="E59" s="371"/>
    </row>
    <row r="60" spans="1:5" s="394" customFormat="1" ht="12" customHeight="1" thickBot="1">
      <c r="A60" s="348" t="s">
        <v>360</v>
      </c>
      <c r="B60" s="397" t="s">
        <v>361</v>
      </c>
      <c r="C60" s="388"/>
      <c r="D60" s="388"/>
      <c r="E60" s="371"/>
    </row>
    <row r="61" spans="1:5" s="394" customFormat="1" ht="12" customHeight="1" thickBot="1">
      <c r="A61" s="352" t="s">
        <v>15</v>
      </c>
      <c r="B61" s="353" t="s">
        <v>362</v>
      </c>
      <c r="C61" s="390">
        <f>+C6+C13+C20+C27+C34+C45+C51+C56</f>
        <v>0</v>
      </c>
      <c r="D61" s="390">
        <f>+D6+D13+D20+D27+D34+D45+D51+D56</f>
        <v>999749</v>
      </c>
      <c r="E61" s="403">
        <f>+E6+E13+E20+E27+E34+E45+E51+E56</f>
        <v>999749</v>
      </c>
    </row>
    <row r="62" spans="1:5" s="394" customFormat="1" ht="12" customHeight="1" thickBot="1">
      <c r="A62" s="406" t="s">
        <v>363</v>
      </c>
      <c r="B62" s="374" t="s">
        <v>364</v>
      </c>
      <c r="C62" s="384">
        <f>+C63+C64+C65</f>
        <v>0</v>
      </c>
      <c r="D62" s="384">
        <f>+D63+D64+D65</f>
        <v>0</v>
      </c>
      <c r="E62" s="367">
        <f>+E63+E64+E65</f>
        <v>0</v>
      </c>
    </row>
    <row r="63" spans="1:5" s="394" customFormat="1" ht="12" customHeight="1">
      <c r="A63" s="347" t="s">
        <v>365</v>
      </c>
      <c r="B63" s="395" t="s">
        <v>366</v>
      </c>
      <c r="C63" s="388"/>
      <c r="D63" s="388"/>
      <c r="E63" s="371"/>
    </row>
    <row r="64" spans="1:5" s="394" customFormat="1" ht="12" customHeight="1">
      <c r="A64" s="346" t="s">
        <v>367</v>
      </c>
      <c r="B64" s="396" t="s">
        <v>368</v>
      </c>
      <c r="C64" s="388"/>
      <c r="D64" s="388"/>
      <c r="E64" s="371"/>
    </row>
    <row r="65" spans="1:5" s="394" customFormat="1" ht="12" customHeight="1" thickBot="1">
      <c r="A65" s="348" t="s">
        <v>369</v>
      </c>
      <c r="B65" s="332" t="s">
        <v>414</v>
      </c>
      <c r="C65" s="388"/>
      <c r="D65" s="388"/>
      <c r="E65" s="371"/>
    </row>
    <row r="66" spans="1:5" s="394" customFormat="1" ht="12" customHeight="1" thickBot="1">
      <c r="A66" s="406" t="s">
        <v>371</v>
      </c>
      <c r="B66" s="374" t="s">
        <v>372</v>
      </c>
      <c r="C66" s="384">
        <f>+C67+C68+C69+C70</f>
        <v>0</v>
      </c>
      <c r="D66" s="384">
        <f>+D67+D68+D69+D70</f>
        <v>0</v>
      </c>
      <c r="E66" s="367">
        <f>+E67+E68+E69+E70</f>
        <v>0</v>
      </c>
    </row>
    <row r="67" spans="1:5" s="394" customFormat="1" ht="13.5" customHeight="1">
      <c r="A67" s="347" t="s">
        <v>108</v>
      </c>
      <c r="B67" s="395" t="s">
        <v>373</v>
      </c>
      <c r="C67" s="388"/>
      <c r="D67" s="388"/>
      <c r="E67" s="371"/>
    </row>
    <row r="68" spans="1:5" s="394" customFormat="1" ht="12" customHeight="1">
      <c r="A68" s="346" t="s">
        <v>109</v>
      </c>
      <c r="B68" s="396" t="s">
        <v>374</v>
      </c>
      <c r="C68" s="388"/>
      <c r="D68" s="388"/>
      <c r="E68" s="371"/>
    </row>
    <row r="69" spans="1:5" s="394" customFormat="1" ht="12" customHeight="1">
      <c r="A69" s="346" t="s">
        <v>375</v>
      </c>
      <c r="B69" s="396" t="s">
        <v>376</v>
      </c>
      <c r="C69" s="388"/>
      <c r="D69" s="388"/>
      <c r="E69" s="371"/>
    </row>
    <row r="70" spans="1:5" s="394" customFormat="1" ht="12" customHeight="1" thickBot="1">
      <c r="A70" s="348" t="s">
        <v>377</v>
      </c>
      <c r="B70" s="397" t="s">
        <v>378</v>
      </c>
      <c r="C70" s="388"/>
      <c r="D70" s="388"/>
      <c r="E70" s="371"/>
    </row>
    <row r="71" spans="1:5" s="394" customFormat="1" ht="12" customHeight="1" thickBot="1">
      <c r="A71" s="406" t="s">
        <v>379</v>
      </c>
      <c r="B71" s="374" t="s">
        <v>380</v>
      </c>
      <c r="C71" s="384">
        <f>+C72+C73</f>
        <v>0</v>
      </c>
      <c r="D71" s="384">
        <f>+D72+D73</f>
        <v>0</v>
      </c>
      <c r="E71" s="367">
        <f>+E72+E73</f>
        <v>0</v>
      </c>
    </row>
    <row r="72" spans="1:5" s="394" customFormat="1" ht="12" customHeight="1">
      <c r="A72" s="347" t="s">
        <v>381</v>
      </c>
      <c r="B72" s="395" t="s">
        <v>382</v>
      </c>
      <c r="C72" s="388"/>
      <c r="D72" s="388"/>
      <c r="E72" s="371"/>
    </row>
    <row r="73" spans="1:5" s="394" customFormat="1" ht="12" customHeight="1" thickBot="1">
      <c r="A73" s="348" t="s">
        <v>383</v>
      </c>
      <c r="B73" s="397" t="s">
        <v>384</v>
      </c>
      <c r="C73" s="388"/>
      <c r="D73" s="388"/>
      <c r="E73" s="371"/>
    </row>
    <row r="74" spans="1:5" s="394" customFormat="1" ht="12" customHeight="1" thickBot="1">
      <c r="A74" s="406" t="s">
        <v>385</v>
      </c>
      <c r="B74" s="374" t="s">
        <v>386</v>
      </c>
      <c r="C74" s="384">
        <f>+C75+C76+C77</f>
        <v>0</v>
      </c>
      <c r="D74" s="384">
        <f>+D75+D76+D77</f>
        <v>0</v>
      </c>
      <c r="E74" s="367">
        <f>+E75+E76+E77</f>
        <v>0</v>
      </c>
    </row>
    <row r="75" spans="1:5" s="394" customFormat="1" ht="12" customHeight="1">
      <c r="A75" s="347" t="s">
        <v>387</v>
      </c>
      <c r="B75" s="395" t="s">
        <v>388</v>
      </c>
      <c r="C75" s="388"/>
      <c r="D75" s="388"/>
      <c r="E75" s="371"/>
    </row>
    <row r="76" spans="1:5" s="394" customFormat="1" ht="12" customHeight="1">
      <c r="A76" s="346" t="s">
        <v>389</v>
      </c>
      <c r="B76" s="396" t="s">
        <v>390</v>
      </c>
      <c r="C76" s="388"/>
      <c r="D76" s="388"/>
      <c r="E76" s="371"/>
    </row>
    <row r="77" spans="1:5" s="394" customFormat="1" ht="12" customHeight="1" thickBot="1">
      <c r="A77" s="348" t="s">
        <v>391</v>
      </c>
      <c r="B77" s="376" t="s">
        <v>392</v>
      </c>
      <c r="C77" s="388"/>
      <c r="D77" s="388"/>
      <c r="E77" s="371"/>
    </row>
    <row r="78" spans="1:5" s="394" customFormat="1" ht="12" customHeight="1" thickBot="1">
      <c r="A78" s="406" t="s">
        <v>393</v>
      </c>
      <c r="B78" s="374" t="s">
        <v>394</v>
      </c>
      <c r="C78" s="384">
        <f>+C79+C80+C81+C82</f>
        <v>0</v>
      </c>
      <c r="D78" s="384">
        <f>+D79+D80+D81+D82</f>
        <v>0</v>
      </c>
      <c r="E78" s="367">
        <f>+E79+E80+E81+E82</f>
        <v>0</v>
      </c>
    </row>
    <row r="79" spans="1:5" s="394" customFormat="1" ht="12" customHeight="1">
      <c r="A79" s="398" t="s">
        <v>395</v>
      </c>
      <c r="B79" s="395" t="s">
        <v>396</v>
      </c>
      <c r="C79" s="388"/>
      <c r="D79" s="388"/>
      <c r="E79" s="371"/>
    </row>
    <row r="80" spans="1:5" s="394" customFormat="1" ht="12" customHeight="1">
      <c r="A80" s="399" t="s">
        <v>397</v>
      </c>
      <c r="B80" s="396" t="s">
        <v>398</v>
      </c>
      <c r="C80" s="388"/>
      <c r="D80" s="388"/>
      <c r="E80" s="371"/>
    </row>
    <row r="81" spans="1:5" s="394" customFormat="1" ht="12" customHeight="1">
      <c r="A81" s="399" t="s">
        <v>399</v>
      </c>
      <c r="B81" s="396" t="s">
        <v>400</v>
      </c>
      <c r="C81" s="388"/>
      <c r="D81" s="388"/>
      <c r="E81" s="371"/>
    </row>
    <row r="82" spans="1:5" s="394" customFormat="1" ht="12" customHeight="1" thickBot="1">
      <c r="A82" s="407" t="s">
        <v>401</v>
      </c>
      <c r="B82" s="376" t="s">
        <v>402</v>
      </c>
      <c r="C82" s="388"/>
      <c r="D82" s="388"/>
      <c r="E82" s="371"/>
    </row>
    <row r="83" spans="1:5" s="394" customFormat="1" ht="12" customHeight="1" thickBot="1">
      <c r="A83" s="406" t="s">
        <v>403</v>
      </c>
      <c r="B83" s="374" t="s">
        <v>404</v>
      </c>
      <c r="C83" s="409"/>
      <c r="D83" s="409"/>
      <c r="E83" s="410"/>
    </row>
    <row r="84" spans="1:5" s="394" customFormat="1" ht="12" customHeight="1" thickBot="1">
      <c r="A84" s="406" t="s">
        <v>405</v>
      </c>
      <c r="B84" s="330" t="s">
        <v>406</v>
      </c>
      <c r="C84" s="390">
        <f>+C62+C66+C71+C74+C78+C83</f>
        <v>0</v>
      </c>
      <c r="D84" s="390">
        <f>+D62+D66+D71+D74+D78+D83</f>
        <v>0</v>
      </c>
      <c r="E84" s="403">
        <f>+E62+E66+E71+E74+E78+E83</f>
        <v>0</v>
      </c>
    </row>
    <row r="85" spans="1:5" s="394" customFormat="1" ht="12" customHeight="1" thickBot="1">
      <c r="A85" s="408" t="s">
        <v>407</v>
      </c>
      <c r="B85" s="333" t="s">
        <v>408</v>
      </c>
      <c r="C85" s="390">
        <f>+C61+C84</f>
        <v>0</v>
      </c>
      <c r="D85" s="390">
        <f>+D61+D84</f>
        <v>999749</v>
      </c>
      <c r="E85" s="403">
        <f>+E61+E84</f>
        <v>999749</v>
      </c>
    </row>
    <row r="86" spans="1:5" s="394" customFormat="1" ht="12" customHeight="1">
      <c r="A86" s="328"/>
      <c r="B86" s="328"/>
      <c r="C86" s="329"/>
      <c r="D86" s="329"/>
      <c r="E86" s="329"/>
    </row>
    <row r="87" spans="1:5" ht="16.5" customHeight="1">
      <c r="A87" s="823" t="s">
        <v>36</v>
      </c>
      <c r="B87" s="823"/>
      <c r="C87" s="823"/>
      <c r="D87" s="823"/>
      <c r="E87" s="823"/>
    </row>
    <row r="88" spans="1:5" s="400" customFormat="1" ht="16.5" customHeight="1" thickBot="1">
      <c r="A88" s="46" t="s">
        <v>112</v>
      </c>
      <c r="B88" s="46"/>
      <c r="C88" s="361"/>
      <c r="D88" s="361"/>
      <c r="E88" s="361" t="s">
        <v>752</v>
      </c>
    </row>
    <row r="89" spans="1:5" s="400" customFormat="1" ht="16.5" customHeight="1">
      <c r="A89" s="824" t="s">
        <v>59</v>
      </c>
      <c r="B89" s="826" t="s">
        <v>177</v>
      </c>
      <c r="C89" s="828" t="str">
        <f>+C3</f>
        <v>2016. évi</v>
      </c>
      <c r="D89" s="828"/>
      <c r="E89" s="829"/>
    </row>
    <row r="90" spans="1:5" ht="38.1" customHeight="1" thickBot="1">
      <c r="A90" s="825"/>
      <c r="B90" s="827"/>
      <c r="C90" s="47" t="s">
        <v>178</v>
      </c>
      <c r="D90" s="47" t="s">
        <v>183</v>
      </c>
      <c r="E90" s="48" t="s">
        <v>184</v>
      </c>
    </row>
    <row r="91" spans="1:5" s="393" customFormat="1" ht="12" customHeight="1" thickBot="1">
      <c r="A91" s="357" t="s">
        <v>409</v>
      </c>
      <c r="B91" s="358" t="s">
        <v>410</v>
      </c>
      <c r="C91" s="358" t="s">
        <v>411</v>
      </c>
      <c r="D91" s="358" t="s">
        <v>412</v>
      </c>
      <c r="E91" s="359" t="s">
        <v>413</v>
      </c>
    </row>
    <row r="92" spans="1:5" ht="12" customHeight="1" thickBot="1">
      <c r="A92" s="354" t="s">
        <v>7</v>
      </c>
      <c r="B92" s="356" t="s">
        <v>415</v>
      </c>
      <c r="C92" s="383">
        <f>SUM(C93:C97)</f>
        <v>18669000</v>
      </c>
      <c r="D92" s="383">
        <f>SUM(D93:D97)</f>
        <v>19665109</v>
      </c>
      <c r="E92" s="338">
        <f>SUM(E93:E97)</f>
        <v>18456236</v>
      </c>
    </row>
    <row r="93" spans="1:5" ht="12" customHeight="1" thickBot="1">
      <c r="A93" s="349" t="s">
        <v>71</v>
      </c>
      <c r="B93" s="342" t="s">
        <v>37</v>
      </c>
      <c r="C93" s="98">
        <v>14257000</v>
      </c>
      <c r="D93" s="98">
        <v>14900132</v>
      </c>
      <c r="E93" s="337">
        <f>+'7.4. sz. mell'!E45</f>
        <v>14037199</v>
      </c>
    </row>
    <row r="94" spans="1:5" ht="12" customHeight="1" thickBot="1">
      <c r="A94" s="346" t="s">
        <v>72</v>
      </c>
      <c r="B94" s="340" t="s">
        <v>133</v>
      </c>
      <c r="C94" s="385">
        <v>3912000</v>
      </c>
      <c r="D94" s="385">
        <v>4067520</v>
      </c>
      <c r="E94" s="337">
        <f>+'7.4. sz. mell'!E46</f>
        <v>3798325</v>
      </c>
    </row>
    <row r="95" spans="1:5" ht="12" customHeight="1" thickBot="1">
      <c r="A95" s="346" t="s">
        <v>73</v>
      </c>
      <c r="B95" s="340" t="s">
        <v>100</v>
      </c>
      <c r="C95" s="387">
        <v>500000</v>
      </c>
      <c r="D95" s="387">
        <v>697457</v>
      </c>
      <c r="E95" s="337">
        <f>+'7.4. sz. mell'!E47</f>
        <v>620712</v>
      </c>
    </row>
    <row r="96" spans="1:5" ht="12" customHeight="1" thickBot="1">
      <c r="A96" s="346" t="s">
        <v>74</v>
      </c>
      <c r="B96" s="343" t="s">
        <v>134</v>
      </c>
      <c r="C96" s="387"/>
      <c r="D96" s="387"/>
      <c r="E96" s="337">
        <f>+'7.4. sz. mell'!E48</f>
        <v>0</v>
      </c>
    </row>
    <row r="97" spans="1:5" ht="12" customHeight="1">
      <c r="A97" s="346" t="s">
        <v>83</v>
      </c>
      <c r="B97" s="351" t="s">
        <v>135</v>
      </c>
      <c r="C97" s="387"/>
      <c r="D97" s="387"/>
      <c r="E97" s="337">
        <f>+'7.4. sz. mell'!E49</f>
        <v>0</v>
      </c>
    </row>
    <row r="98" spans="1:5" ht="12" customHeight="1">
      <c r="A98" s="346" t="s">
        <v>75</v>
      </c>
      <c r="B98" s="340" t="s">
        <v>416</v>
      </c>
      <c r="C98" s="387"/>
      <c r="D98" s="387"/>
      <c r="E98" s="370"/>
    </row>
    <row r="99" spans="1:5" ht="12" customHeight="1">
      <c r="A99" s="346" t="s">
        <v>76</v>
      </c>
      <c r="B99" s="363" t="s">
        <v>417</v>
      </c>
      <c r="C99" s="387"/>
      <c r="D99" s="387"/>
      <c r="E99" s="370"/>
    </row>
    <row r="100" spans="1:5" ht="12" customHeight="1">
      <c r="A100" s="346" t="s">
        <v>84</v>
      </c>
      <c r="B100" s="364" t="s">
        <v>418</v>
      </c>
      <c r="C100" s="387"/>
      <c r="D100" s="387"/>
      <c r="E100" s="370"/>
    </row>
    <row r="101" spans="1:5" ht="12" customHeight="1">
      <c r="A101" s="346" t="s">
        <v>85</v>
      </c>
      <c r="B101" s="364" t="s">
        <v>419</v>
      </c>
      <c r="C101" s="387"/>
      <c r="D101" s="387"/>
      <c r="E101" s="370"/>
    </row>
    <row r="102" spans="1:5" ht="12" customHeight="1">
      <c r="A102" s="346" t="s">
        <v>86</v>
      </c>
      <c r="B102" s="363" t="s">
        <v>420</v>
      </c>
      <c r="C102" s="387"/>
      <c r="D102" s="387"/>
      <c r="E102" s="370"/>
    </row>
    <row r="103" spans="1:5" ht="12" customHeight="1">
      <c r="A103" s="346" t="s">
        <v>87</v>
      </c>
      <c r="B103" s="363" t="s">
        <v>421</v>
      </c>
      <c r="C103" s="387"/>
      <c r="D103" s="387"/>
      <c r="E103" s="370"/>
    </row>
    <row r="104" spans="1:5" ht="12" customHeight="1">
      <c r="A104" s="346" t="s">
        <v>89</v>
      </c>
      <c r="B104" s="364" t="s">
        <v>422</v>
      </c>
      <c r="C104" s="387"/>
      <c r="D104" s="387"/>
      <c r="E104" s="370"/>
    </row>
    <row r="105" spans="1:5" ht="12" customHeight="1">
      <c r="A105" s="345" t="s">
        <v>136</v>
      </c>
      <c r="B105" s="365" t="s">
        <v>423</v>
      </c>
      <c r="C105" s="387"/>
      <c r="D105" s="387"/>
      <c r="E105" s="370"/>
    </row>
    <row r="106" spans="1:5" ht="12" customHeight="1">
      <c r="A106" s="346" t="s">
        <v>424</v>
      </c>
      <c r="B106" s="365" t="s">
        <v>425</v>
      </c>
      <c r="C106" s="387"/>
      <c r="D106" s="387"/>
      <c r="E106" s="370"/>
    </row>
    <row r="107" spans="1:5" ht="12" customHeight="1" thickBot="1">
      <c r="A107" s="350" t="s">
        <v>426</v>
      </c>
      <c r="B107" s="366" t="s">
        <v>427</v>
      </c>
      <c r="C107" s="99"/>
      <c r="D107" s="99"/>
      <c r="E107" s="331"/>
    </row>
    <row r="108" spans="1:5" ht="12" customHeight="1" thickBot="1">
      <c r="A108" s="352" t="s">
        <v>8</v>
      </c>
      <c r="B108" s="355" t="s">
        <v>428</v>
      </c>
      <c r="C108" s="384">
        <f>+C109+C111+C113</f>
        <v>0</v>
      </c>
      <c r="D108" s="384">
        <f>+D109+D111+D113</f>
        <v>0</v>
      </c>
      <c r="E108" s="367">
        <f>+E109+E111+E113</f>
        <v>0</v>
      </c>
    </row>
    <row r="109" spans="1:5" ht="12" customHeight="1">
      <c r="A109" s="347" t="s">
        <v>77</v>
      </c>
      <c r="B109" s="340" t="s">
        <v>155</v>
      </c>
      <c r="C109" s="386"/>
      <c r="D109" s="386"/>
      <c r="E109" s="369"/>
    </row>
    <row r="110" spans="1:5" ht="12" customHeight="1">
      <c r="A110" s="347" t="s">
        <v>78</v>
      </c>
      <c r="B110" s="344" t="s">
        <v>429</v>
      </c>
      <c r="C110" s="386"/>
      <c r="D110" s="386"/>
      <c r="E110" s="369"/>
    </row>
    <row r="111" spans="1:5">
      <c r="A111" s="347" t="s">
        <v>79</v>
      </c>
      <c r="B111" s="344" t="s">
        <v>137</v>
      </c>
      <c r="C111" s="385"/>
      <c r="D111" s="385"/>
      <c r="E111" s="368"/>
    </row>
    <row r="112" spans="1:5" ht="12" customHeight="1">
      <c r="A112" s="347" t="s">
        <v>80</v>
      </c>
      <c r="B112" s="344" t="s">
        <v>430</v>
      </c>
      <c r="C112" s="385"/>
      <c r="D112" s="385"/>
      <c r="E112" s="368"/>
    </row>
    <row r="113" spans="1:5" ht="12" customHeight="1">
      <c r="A113" s="347" t="s">
        <v>81</v>
      </c>
      <c r="B113" s="376" t="s">
        <v>158</v>
      </c>
      <c r="C113" s="385"/>
      <c r="D113" s="385"/>
      <c r="E113" s="368"/>
    </row>
    <row r="114" spans="1:5" ht="21.75" customHeight="1">
      <c r="A114" s="347" t="s">
        <v>88</v>
      </c>
      <c r="B114" s="375" t="s">
        <v>431</v>
      </c>
      <c r="C114" s="385"/>
      <c r="D114" s="385"/>
      <c r="E114" s="368"/>
    </row>
    <row r="115" spans="1:5" ht="24" customHeight="1">
      <c r="A115" s="347" t="s">
        <v>90</v>
      </c>
      <c r="B115" s="391" t="s">
        <v>432</v>
      </c>
      <c r="C115" s="385"/>
      <c r="D115" s="385"/>
      <c r="E115" s="368"/>
    </row>
    <row r="116" spans="1:5" ht="12" customHeight="1">
      <c r="A116" s="347" t="s">
        <v>138</v>
      </c>
      <c r="B116" s="364" t="s">
        <v>419</v>
      </c>
      <c r="C116" s="385"/>
      <c r="D116" s="385"/>
      <c r="E116" s="368"/>
    </row>
    <row r="117" spans="1:5" ht="12" customHeight="1">
      <c r="A117" s="347" t="s">
        <v>139</v>
      </c>
      <c r="B117" s="364" t="s">
        <v>433</v>
      </c>
      <c r="C117" s="385"/>
      <c r="D117" s="385"/>
      <c r="E117" s="368"/>
    </row>
    <row r="118" spans="1:5" ht="12" customHeight="1">
      <c r="A118" s="347" t="s">
        <v>140</v>
      </c>
      <c r="B118" s="364" t="s">
        <v>434</v>
      </c>
      <c r="C118" s="385"/>
      <c r="D118" s="385"/>
      <c r="E118" s="368"/>
    </row>
    <row r="119" spans="1:5" s="411" customFormat="1" ht="12" customHeight="1">
      <c r="A119" s="347" t="s">
        <v>435</v>
      </c>
      <c r="B119" s="364" t="s">
        <v>422</v>
      </c>
      <c r="C119" s="385"/>
      <c r="D119" s="385"/>
      <c r="E119" s="368"/>
    </row>
    <row r="120" spans="1:5" ht="12" customHeight="1">
      <c r="A120" s="347" t="s">
        <v>436</v>
      </c>
      <c r="B120" s="364" t="s">
        <v>437</v>
      </c>
      <c r="C120" s="385"/>
      <c r="D120" s="385"/>
      <c r="E120" s="368"/>
    </row>
    <row r="121" spans="1:5" ht="12" customHeight="1" thickBot="1">
      <c r="A121" s="345" t="s">
        <v>438</v>
      </c>
      <c r="B121" s="364" t="s">
        <v>439</v>
      </c>
      <c r="C121" s="387"/>
      <c r="D121" s="387"/>
      <c r="E121" s="370"/>
    </row>
    <row r="122" spans="1:5" ht="12" customHeight="1" thickBot="1">
      <c r="A122" s="352" t="s">
        <v>9</v>
      </c>
      <c r="B122" s="360" t="s">
        <v>440</v>
      </c>
      <c r="C122" s="384">
        <f>+C123+C124</f>
        <v>0</v>
      </c>
      <c r="D122" s="384">
        <f>+D123+D124</f>
        <v>0</v>
      </c>
      <c r="E122" s="367">
        <f>+E123+E124</f>
        <v>0</v>
      </c>
    </row>
    <row r="123" spans="1:5" ht="12" customHeight="1">
      <c r="A123" s="347" t="s">
        <v>60</v>
      </c>
      <c r="B123" s="341" t="s">
        <v>45</v>
      </c>
      <c r="C123" s="386"/>
      <c r="D123" s="386"/>
      <c r="E123" s="369"/>
    </row>
    <row r="124" spans="1:5" ht="12" customHeight="1" thickBot="1">
      <c r="A124" s="348" t="s">
        <v>61</v>
      </c>
      <c r="B124" s="344" t="s">
        <v>46</v>
      </c>
      <c r="C124" s="387"/>
      <c r="D124" s="387"/>
      <c r="E124" s="370"/>
    </row>
    <row r="125" spans="1:5" ht="12" customHeight="1" thickBot="1">
      <c r="A125" s="352" t="s">
        <v>10</v>
      </c>
      <c r="B125" s="360" t="s">
        <v>441</v>
      </c>
      <c r="C125" s="384">
        <f>+C92+C108+C122</f>
        <v>18669000</v>
      </c>
      <c r="D125" s="384">
        <f>+D92+D108+D122</f>
        <v>19665109</v>
      </c>
      <c r="E125" s="367">
        <f>+E92+E108+E122</f>
        <v>18456236</v>
      </c>
    </row>
    <row r="126" spans="1:5" ht="12" customHeight="1" thickBot="1">
      <c r="A126" s="352" t="s">
        <v>11</v>
      </c>
      <c r="B126" s="360" t="s">
        <v>442</v>
      </c>
      <c r="C126" s="384">
        <f>+C127+C128+C129</f>
        <v>0</v>
      </c>
      <c r="D126" s="384">
        <f>+D127+D128+D129</f>
        <v>0</v>
      </c>
      <c r="E126" s="367">
        <f>+E127+E128+E129</f>
        <v>0</v>
      </c>
    </row>
    <row r="127" spans="1:5" ht="12" customHeight="1">
      <c r="A127" s="347" t="s">
        <v>64</v>
      </c>
      <c r="B127" s="341" t="s">
        <v>443</v>
      </c>
      <c r="C127" s="385"/>
      <c r="D127" s="385"/>
      <c r="E127" s="368"/>
    </row>
    <row r="128" spans="1:5" ht="12" customHeight="1">
      <c r="A128" s="347" t="s">
        <v>65</v>
      </c>
      <c r="B128" s="341" t="s">
        <v>444</v>
      </c>
      <c r="C128" s="385"/>
      <c r="D128" s="385"/>
      <c r="E128" s="368"/>
    </row>
    <row r="129" spans="1:9" ht="12" customHeight="1" thickBot="1">
      <c r="A129" s="345" t="s">
        <v>66</v>
      </c>
      <c r="B129" s="339" t="s">
        <v>445</v>
      </c>
      <c r="C129" s="385"/>
      <c r="D129" s="385"/>
      <c r="E129" s="368"/>
    </row>
    <row r="130" spans="1:9" ht="12" customHeight="1" thickBot="1">
      <c r="A130" s="352" t="s">
        <v>12</v>
      </c>
      <c r="B130" s="360" t="s">
        <v>446</v>
      </c>
      <c r="C130" s="384">
        <f>+C131+C132+C134+C133</f>
        <v>0</v>
      </c>
      <c r="D130" s="384">
        <f>+D131+D132+D134+D133</f>
        <v>0</v>
      </c>
      <c r="E130" s="367">
        <f>+E131+E132+E134+E133</f>
        <v>0</v>
      </c>
    </row>
    <row r="131" spans="1:9" ht="12" customHeight="1">
      <c r="A131" s="347" t="s">
        <v>67</v>
      </c>
      <c r="B131" s="341" t="s">
        <v>447</v>
      </c>
      <c r="C131" s="385"/>
      <c r="D131" s="385"/>
      <c r="E131" s="368"/>
    </row>
    <row r="132" spans="1:9" ht="12" customHeight="1">
      <c r="A132" s="347" t="s">
        <v>68</v>
      </c>
      <c r="B132" s="341" t="s">
        <v>448</v>
      </c>
      <c r="C132" s="385"/>
      <c r="D132" s="385"/>
      <c r="E132" s="368"/>
    </row>
    <row r="133" spans="1:9" ht="12" customHeight="1">
      <c r="A133" s="347" t="s">
        <v>343</v>
      </c>
      <c r="B133" s="341" t="s">
        <v>449</v>
      </c>
      <c r="C133" s="385"/>
      <c r="D133" s="385"/>
      <c r="E133" s="368"/>
    </row>
    <row r="134" spans="1:9" ht="12" customHeight="1" thickBot="1">
      <c r="A134" s="345" t="s">
        <v>345</v>
      </c>
      <c r="B134" s="339" t="s">
        <v>450</v>
      </c>
      <c r="C134" s="385"/>
      <c r="D134" s="385"/>
      <c r="E134" s="368"/>
    </row>
    <row r="135" spans="1:9" ht="12" customHeight="1" thickBot="1">
      <c r="A135" s="352" t="s">
        <v>13</v>
      </c>
      <c r="B135" s="360" t="s">
        <v>451</v>
      </c>
      <c r="C135" s="390">
        <f>+C136+C137+C138+C139</f>
        <v>0</v>
      </c>
      <c r="D135" s="390">
        <f>+D136+D137+D138+D139</f>
        <v>0</v>
      </c>
      <c r="E135" s="403">
        <f>+E136+E137+E138+E139</f>
        <v>0</v>
      </c>
    </row>
    <row r="136" spans="1:9" ht="12" customHeight="1">
      <c r="A136" s="347" t="s">
        <v>69</v>
      </c>
      <c r="B136" s="341" t="s">
        <v>452</v>
      </c>
      <c r="C136" s="385"/>
      <c r="D136" s="385"/>
      <c r="E136" s="368"/>
    </row>
    <row r="137" spans="1:9" ht="12" customHeight="1">
      <c r="A137" s="347" t="s">
        <v>70</v>
      </c>
      <c r="B137" s="341" t="s">
        <v>453</v>
      </c>
      <c r="C137" s="385"/>
      <c r="D137" s="385"/>
      <c r="E137" s="368"/>
    </row>
    <row r="138" spans="1:9" ht="12" customHeight="1">
      <c r="A138" s="347" t="s">
        <v>352</v>
      </c>
      <c r="B138" s="341" t="s">
        <v>454</v>
      </c>
      <c r="C138" s="385"/>
      <c r="D138" s="385"/>
      <c r="E138" s="368"/>
    </row>
    <row r="139" spans="1:9" ht="12" customHeight="1" thickBot="1">
      <c r="A139" s="345" t="s">
        <v>354</v>
      </c>
      <c r="B139" s="339" t="s">
        <v>455</v>
      </c>
      <c r="C139" s="385"/>
      <c r="D139" s="385"/>
      <c r="E139" s="368"/>
    </row>
    <row r="140" spans="1:9" ht="15" customHeight="1" thickBot="1">
      <c r="A140" s="352" t="s">
        <v>14</v>
      </c>
      <c r="B140" s="360" t="s">
        <v>456</v>
      </c>
      <c r="C140" s="100">
        <f>+C141+C142+C143+C144</f>
        <v>0</v>
      </c>
      <c r="D140" s="100">
        <f>+D141+D142+D143+D144</f>
        <v>0</v>
      </c>
      <c r="E140" s="336">
        <f>+E141+E142+E143+E144</f>
        <v>0</v>
      </c>
      <c r="F140" s="401"/>
      <c r="G140" s="402"/>
      <c r="H140" s="402"/>
      <c r="I140" s="402"/>
    </row>
    <row r="141" spans="1:9" s="394" customFormat="1" ht="12.95" customHeight="1">
      <c r="A141" s="347" t="s">
        <v>131</v>
      </c>
      <c r="B141" s="341" t="s">
        <v>457</v>
      </c>
      <c r="C141" s="385"/>
      <c r="D141" s="385"/>
      <c r="E141" s="368"/>
    </row>
    <row r="142" spans="1:9" ht="12.75" customHeight="1">
      <c r="A142" s="347" t="s">
        <v>132</v>
      </c>
      <c r="B142" s="341" t="s">
        <v>458</v>
      </c>
      <c r="C142" s="385"/>
      <c r="D142" s="385"/>
      <c r="E142" s="368"/>
    </row>
    <row r="143" spans="1:9" ht="12.75" customHeight="1">
      <c r="A143" s="347" t="s">
        <v>157</v>
      </c>
      <c r="B143" s="341" t="s">
        <v>459</v>
      </c>
      <c r="C143" s="385"/>
      <c r="D143" s="385"/>
      <c r="E143" s="368"/>
    </row>
    <row r="144" spans="1:9" ht="12.75" customHeight="1" thickBot="1">
      <c r="A144" s="347" t="s">
        <v>360</v>
      </c>
      <c r="B144" s="341" t="s">
        <v>460</v>
      </c>
      <c r="C144" s="385"/>
      <c r="D144" s="385"/>
      <c r="E144" s="368"/>
    </row>
    <row r="145" spans="1:5" ht="16.5" thickBot="1">
      <c r="A145" s="352" t="s">
        <v>15</v>
      </c>
      <c r="B145" s="360" t="s">
        <v>461</v>
      </c>
      <c r="C145" s="334">
        <f>+C126+C130+C135+C140</f>
        <v>0</v>
      </c>
      <c r="D145" s="334">
        <f>+D126+D130+D135+D140</f>
        <v>0</v>
      </c>
      <c r="E145" s="335">
        <f>+E126+E130+E135+E140</f>
        <v>0</v>
      </c>
    </row>
    <row r="146" spans="1:5" ht="16.5" thickBot="1">
      <c r="A146" s="377" t="s">
        <v>16</v>
      </c>
      <c r="B146" s="380" t="s">
        <v>462</v>
      </c>
      <c r="C146" s="334">
        <f>+C125+C145</f>
        <v>18669000</v>
      </c>
      <c r="D146" s="334">
        <f>+D125+D145</f>
        <v>19665109</v>
      </c>
      <c r="E146" s="335">
        <f>+E125+E145</f>
        <v>18456236</v>
      </c>
    </row>
    <row r="148" spans="1:5" ht="18.75" customHeight="1">
      <c r="A148" s="822" t="s">
        <v>463</v>
      </c>
      <c r="B148" s="822"/>
      <c r="C148" s="822"/>
      <c r="D148" s="822"/>
      <c r="E148" s="822"/>
    </row>
    <row r="149" spans="1:5" ht="13.5" customHeight="1" thickBot="1">
      <c r="A149" s="362" t="s">
        <v>113</v>
      </c>
      <c r="B149" s="362"/>
      <c r="C149" s="392"/>
      <c r="E149" s="379" t="s">
        <v>752</v>
      </c>
    </row>
    <row r="150" spans="1:5" ht="21.75" thickBot="1">
      <c r="A150" s="352">
        <v>1</v>
      </c>
      <c r="B150" s="355" t="s">
        <v>464</v>
      </c>
      <c r="C150" s="378">
        <f>+C61-C125</f>
        <v>-18669000</v>
      </c>
      <c r="D150" s="378">
        <f>+D61-D125</f>
        <v>-18665360</v>
      </c>
      <c r="E150" s="378">
        <f>+E61-E125</f>
        <v>-17456487</v>
      </c>
    </row>
    <row r="151" spans="1:5" ht="21.75" thickBot="1">
      <c r="A151" s="352" t="s">
        <v>8</v>
      </c>
      <c r="B151" s="355" t="s">
        <v>465</v>
      </c>
      <c r="C151" s="378">
        <f>+C84-C145</f>
        <v>0</v>
      </c>
      <c r="D151" s="378">
        <f>+D84-D145</f>
        <v>0</v>
      </c>
      <c r="E151" s="378">
        <f>+E84-E145</f>
        <v>0</v>
      </c>
    </row>
    <row r="152" spans="1:5" ht="7.5" customHeight="1"/>
    <row r="154" spans="1:5" ht="12.75" customHeight="1"/>
    <row r="155" spans="1:5" ht="12.75" customHeight="1"/>
    <row r="156" spans="1:5" ht="12.75" customHeight="1"/>
    <row r="157" spans="1:5" ht="12.75" customHeight="1"/>
    <row r="158" spans="1:5" ht="12.75" customHeight="1"/>
    <row r="159" spans="1:5" ht="12.75" customHeight="1"/>
    <row r="160" spans="1:5" ht="12.75" customHeight="1"/>
    <row r="161" spans="3:5" s="381" customFormat="1" ht="12.75" customHeight="1">
      <c r="C161" s="382"/>
      <c r="D161" s="382"/>
      <c r="E161" s="382"/>
    </row>
  </sheetData>
  <mergeCells count="9">
    <mergeCell ref="A148:E148"/>
    <mergeCell ref="A1:E1"/>
    <mergeCell ref="A3:A4"/>
    <mergeCell ref="B3:B4"/>
    <mergeCell ref="C3:E3"/>
    <mergeCell ref="A87:E87"/>
    <mergeCell ref="A89:A90"/>
    <mergeCell ref="B89:B90"/>
    <mergeCell ref="C89:E89"/>
  </mergeCells>
  <phoneticPr fontId="27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2016. ÉVI ZÁRSZÁMADÁS
ÁLLAMIGAZGATÁSI FELADATOK MÉRLEGE
&amp;R&amp;"Times New Roman CE,Félkövér dőlt"&amp;11 1.4. melléklet a 15/2017. (V. 30.) önkormányzati rendelethez</oddHeader>
  </headerFooter>
  <rowBreaks count="1" manualBreakCount="1">
    <brk id="86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J30"/>
  <sheetViews>
    <sheetView view="pageLayout" topLeftCell="C1" zoomScaleNormal="100" zoomScaleSheetLayoutView="100" workbookViewId="0">
      <selection activeCell="F13" sqref="F13"/>
    </sheetView>
  </sheetViews>
  <sheetFormatPr defaultRowHeight="12.75"/>
  <cols>
    <col min="1" max="1" width="6.83203125" style="10" customWidth="1"/>
    <col min="2" max="2" width="55.1640625" style="26" customWidth="1"/>
    <col min="3" max="5" width="16.33203125" style="10" customWidth="1"/>
    <col min="6" max="6" width="55.1640625" style="10" customWidth="1"/>
    <col min="7" max="9" width="16.33203125" style="10" customWidth="1"/>
    <col min="10" max="10" width="4.83203125" style="10" customWidth="1"/>
    <col min="11" max="16384" width="9.33203125" style="10"/>
  </cols>
  <sheetData>
    <row r="1" spans="1:10" ht="39.75" customHeight="1">
      <c r="B1" s="424" t="s">
        <v>117</v>
      </c>
      <c r="C1" s="425"/>
      <c r="D1" s="425"/>
      <c r="E1" s="425"/>
      <c r="F1" s="425"/>
      <c r="G1" s="425"/>
      <c r="H1" s="425"/>
      <c r="I1" s="425"/>
      <c r="J1" s="832" t="str">
        <f>+CONCATENATE("2.1. melléklet a 15/",LEFT('1.1.sz.mell.'!C3,4)+1,". (V. 30.) önkormányzati rendelethez")</f>
        <v>2.1. melléklet a 15/2017. (V. 30.) önkormányzati rendelethez</v>
      </c>
    </row>
    <row r="2" spans="1:10" ht="14.25" thickBot="1">
      <c r="G2" s="39"/>
      <c r="H2" s="39"/>
      <c r="I2" s="39" t="s">
        <v>769</v>
      </c>
      <c r="J2" s="832"/>
    </row>
    <row r="3" spans="1:10" ht="18" customHeight="1" thickBot="1">
      <c r="A3" s="830" t="s">
        <v>59</v>
      </c>
      <c r="B3" s="452" t="s">
        <v>42</v>
      </c>
      <c r="C3" s="453"/>
      <c r="D3" s="453"/>
      <c r="E3" s="453"/>
      <c r="F3" s="452" t="s">
        <v>43</v>
      </c>
      <c r="G3" s="454"/>
      <c r="H3" s="454"/>
      <c r="I3" s="454"/>
      <c r="J3" s="832"/>
    </row>
    <row r="4" spans="1:10" s="426" customFormat="1" ht="35.25" customHeight="1" thickBot="1">
      <c r="A4" s="831"/>
      <c r="B4" s="27" t="s">
        <v>52</v>
      </c>
      <c r="C4" s="28" t="str">
        <f>+CONCATENATE(LEFT('1.1.sz.mell.'!C3,4),". évi eredeti előirányzat")</f>
        <v>2016. évi eredeti előirányzat</v>
      </c>
      <c r="D4" s="412" t="str">
        <f>+CONCATENATE(LEFT('1.1.sz.mell.'!C3,4),". évi módosított előirányzat")</f>
        <v>2016. évi módosított előirányzat</v>
      </c>
      <c r="E4" s="28" t="str">
        <f>+CONCATENATE(LEFT('1.1.sz.mell.'!C3,4),". évi teljesítés")</f>
        <v>2016. évi teljesítés</v>
      </c>
      <c r="F4" s="27" t="s">
        <v>52</v>
      </c>
      <c r="G4" s="28" t="str">
        <f>+C4</f>
        <v>2016. évi eredeti előirányzat</v>
      </c>
      <c r="H4" s="412" t="str">
        <f>+D4</f>
        <v>2016. évi módosított előirányzat</v>
      </c>
      <c r="I4" s="442" t="str">
        <f>+E4</f>
        <v>2016. évi teljesítés</v>
      </c>
      <c r="J4" s="832"/>
    </row>
    <row r="5" spans="1:10" s="427" customFormat="1" ht="12" customHeight="1" thickBot="1">
      <c r="A5" s="455" t="s">
        <v>409</v>
      </c>
      <c r="B5" s="456" t="s">
        <v>410</v>
      </c>
      <c r="C5" s="457" t="s">
        <v>411</v>
      </c>
      <c r="D5" s="457" t="s">
        <v>412</v>
      </c>
      <c r="E5" s="457" t="s">
        <v>413</v>
      </c>
      <c r="F5" s="456" t="s">
        <v>490</v>
      </c>
      <c r="G5" s="457" t="s">
        <v>491</v>
      </c>
      <c r="H5" s="457" t="s">
        <v>492</v>
      </c>
      <c r="I5" s="458" t="s">
        <v>493</v>
      </c>
      <c r="J5" s="832"/>
    </row>
    <row r="6" spans="1:10" ht="15" customHeight="1">
      <c r="A6" s="428" t="s">
        <v>7</v>
      </c>
      <c r="B6" s="429" t="s">
        <v>466</v>
      </c>
      <c r="C6" s="415">
        <v>840689736</v>
      </c>
      <c r="D6" s="415">
        <v>525964684</v>
      </c>
      <c r="E6" s="415">
        <f>+'1.1.sz.mell.'!E6</f>
        <v>520552427</v>
      </c>
      <c r="F6" s="429" t="s">
        <v>53</v>
      </c>
      <c r="G6" s="415">
        <v>518589000</v>
      </c>
      <c r="H6" s="415">
        <v>529305319</v>
      </c>
      <c r="I6" s="421">
        <f>+'1.1.sz.mell.'!E93</f>
        <v>512056922</v>
      </c>
      <c r="J6" s="832"/>
    </row>
    <row r="7" spans="1:10" ht="15" customHeight="1">
      <c r="A7" s="430" t="s">
        <v>8</v>
      </c>
      <c r="B7" s="431" t="s">
        <v>467</v>
      </c>
      <c r="C7" s="416"/>
      <c r="D7" s="416">
        <v>364394401</v>
      </c>
      <c r="E7" s="416">
        <f>+'1.1.sz.mell.'!E13</f>
        <v>401092253</v>
      </c>
      <c r="F7" s="431" t="s">
        <v>133</v>
      </c>
      <c r="G7" s="416">
        <v>105750000</v>
      </c>
      <c r="H7" s="416">
        <v>110124927</v>
      </c>
      <c r="I7" s="421">
        <f>+'1.1.sz.mell.'!E94</f>
        <v>105114101</v>
      </c>
      <c r="J7" s="832"/>
    </row>
    <row r="8" spans="1:10" ht="15" customHeight="1">
      <c r="A8" s="430" t="s">
        <v>9</v>
      </c>
      <c r="B8" s="431" t="s">
        <v>468</v>
      </c>
      <c r="C8" s="416"/>
      <c r="D8" s="416"/>
      <c r="E8" s="416"/>
      <c r="F8" s="431" t="s">
        <v>161</v>
      </c>
      <c r="G8" s="416">
        <v>376246836</v>
      </c>
      <c r="H8" s="416">
        <v>440819544</v>
      </c>
      <c r="I8" s="421">
        <f>+'1.1.sz.mell.'!E95</f>
        <v>382242876</v>
      </c>
      <c r="J8" s="832"/>
    </row>
    <row r="9" spans="1:10" ht="15" customHeight="1">
      <c r="A9" s="430" t="s">
        <v>10</v>
      </c>
      <c r="B9" s="431" t="s">
        <v>124</v>
      </c>
      <c r="C9" s="416">
        <v>96590000</v>
      </c>
      <c r="D9" s="416">
        <v>96557962</v>
      </c>
      <c r="E9" s="416">
        <f>+'1.1.sz.mell.'!E27</f>
        <v>103838443</v>
      </c>
      <c r="F9" s="431" t="s">
        <v>134</v>
      </c>
      <c r="G9" s="416">
        <v>35992000</v>
      </c>
      <c r="H9" s="416">
        <v>16736586</v>
      </c>
      <c r="I9" s="421">
        <f>+'1.1.sz.mell.'!E96</f>
        <v>16669950</v>
      </c>
      <c r="J9" s="832"/>
    </row>
    <row r="10" spans="1:10" ht="15" customHeight="1">
      <c r="A10" s="430" t="s">
        <v>11</v>
      </c>
      <c r="B10" s="432" t="s">
        <v>469</v>
      </c>
      <c r="C10" s="416"/>
      <c r="D10" s="416"/>
      <c r="E10" s="416">
        <f>+'1.1.sz.mell.'!E51</f>
        <v>0</v>
      </c>
      <c r="F10" s="431" t="s">
        <v>135</v>
      </c>
      <c r="G10" s="416">
        <v>57340000</v>
      </c>
      <c r="H10" s="416">
        <v>65600253</v>
      </c>
      <c r="I10" s="421">
        <f>+'1.1.sz.mell.'!E97</f>
        <v>51105005</v>
      </c>
      <c r="J10" s="832"/>
    </row>
    <row r="11" spans="1:10" ht="15" customHeight="1">
      <c r="A11" s="430" t="s">
        <v>12</v>
      </c>
      <c r="B11" s="431" t="s">
        <v>657</v>
      </c>
      <c r="C11" s="417"/>
      <c r="D11" s="417"/>
      <c r="E11" s="417"/>
      <c r="F11" s="431" t="s">
        <v>38</v>
      </c>
      <c r="G11" s="416"/>
      <c r="H11" s="416">
        <v>15000000</v>
      </c>
      <c r="I11" s="421">
        <f>+'1.1.sz.mell.'!E98</f>
        <v>0</v>
      </c>
      <c r="J11" s="832"/>
    </row>
    <row r="12" spans="1:10" ht="15" customHeight="1">
      <c r="A12" s="430" t="s">
        <v>13</v>
      </c>
      <c r="B12" s="431" t="s">
        <v>339</v>
      </c>
      <c r="C12" s="416">
        <v>109368100</v>
      </c>
      <c r="D12" s="416">
        <v>128782621</v>
      </c>
      <c r="E12" s="416">
        <f>+'1.1.sz.mell.'!E34</f>
        <v>133254708</v>
      </c>
      <c r="F12" s="7"/>
      <c r="G12" s="416"/>
      <c r="H12" s="416"/>
      <c r="I12" s="422"/>
      <c r="J12" s="832"/>
    </row>
    <row r="13" spans="1:10" ht="15" customHeight="1">
      <c r="A13" s="430" t="s">
        <v>14</v>
      </c>
      <c r="B13" s="7"/>
      <c r="C13" s="416"/>
      <c r="D13" s="416"/>
      <c r="E13" s="416"/>
      <c r="F13" s="7"/>
      <c r="G13" s="416"/>
      <c r="H13" s="416"/>
      <c r="I13" s="422"/>
      <c r="J13" s="832"/>
    </row>
    <row r="14" spans="1:10" ht="15" customHeight="1">
      <c r="A14" s="430" t="s">
        <v>15</v>
      </c>
      <c r="B14" s="441"/>
      <c r="C14" s="417"/>
      <c r="D14" s="417"/>
      <c r="E14" s="417"/>
      <c r="F14" s="7"/>
      <c r="G14" s="416"/>
      <c r="H14" s="416"/>
      <c r="I14" s="422"/>
      <c r="J14" s="832"/>
    </row>
    <row r="15" spans="1:10" ht="15" customHeight="1">
      <c r="A15" s="430" t="s">
        <v>16</v>
      </c>
      <c r="B15" s="7"/>
      <c r="C15" s="416"/>
      <c r="D15" s="416"/>
      <c r="E15" s="416"/>
      <c r="F15" s="7"/>
      <c r="G15" s="416"/>
      <c r="H15" s="416"/>
      <c r="I15" s="422"/>
      <c r="J15" s="832"/>
    </row>
    <row r="16" spans="1:10" ht="15" customHeight="1">
      <c r="A16" s="430" t="s">
        <v>17</v>
      </c>
      <c r="B16" s="7"/>
      <c r="C16" s="416"/>
      <c r="D16" s="416"/>
      <c r="E16" s="416"/>
      <c r="F16" s="7"/>
      <c r="G16" s="416"/>
      <c r="H16" s="416"/>
      <c r="I16" s="422"/>
      <c r="J16" s="832"/>
    </row>
    <row r="17" spans="1:10" ht="15" customHeight="1" thickBot="1">
      <c r="A17" s="430" t="s">
        <v>18</v>
      </c>
      <c r="B17" s="12"/>
      <c r="C17" s="418"/>
      <c r="D17" s="418"/>
      <c r="E17" s="418"/>
      <c r="F17" s="7"/>
      <c r="G17" s="418"/>
      <c r="H17" s="418"/>
      <c r="I17" s="423"/>
      <c r="J17" s="832"/>
    </row>
    <row r="18" spans="1:10" ht="17.25" customHeight="1" thickBot="1">
      <c r="A18" s="433" t="s">
        <v>19</v>
      </c>
      <c r="B18" s="414" t="s">
        <v>470</v>
      </c>
      <c r="C18" s="419">
        <f>+C6+C7+C9+C10+C12+C13+C14+C15+C16+C17</f>
        <v>1046647836</v>
      </c>
      <c r="D18" s="419">
        <f>+D6+D7+D9+D10+D12+D13+D14+D15+D16+D17</f>
        <v>1115699668</v>
      </c>
      <c r="E18" s="419">
        <f>+E6+E7+E9+E10+E12+E13+E14+E15+E16+E17</f>
        <v>1158737831</v>
      </c>
      <c r="F18" s="414" t="s">
        <v>477</v>
      </c>
      <c r="G18" s="419">
        <f>SUM(G6:G17)</f>
        <v>1093917836</v>
      </c>
      <c r="H18" s="419">
        <f>SUM(H6:H17)</f>
        <v>1177586629</v>
      </c>
      <c r="I18" s="419">
        <f>SUM(I6:I17)</f>
        <v>1067188854</v>
      </c>
      <c r="J18" s="832"/>
    </row>
    <row r="19" spans="1:10" ht="15" customHeight="1">
      <c r="A19" s="434" t="s">
        <v>20</v>
      </c>
      <c r="B19" s="435" t="s">
        <v>471</v>
      </c>
      <c r="C19" s="40">
        <f>+C20+C21+C22+C23</f>
        <v>39947000</v>
      </c>
      <c r="D19" s="40">
        <f>+D20+D21+D22+D23</f>
        <v>73868751</v>
      </c>
      <c r="E19" s="40">
        <f>+E20+E21+E22+E23</f>
        <v>88693319</v>
      </c>
      <c r="F19" s="436" t="s">
        <v>141</v>
      </c>
      <c r="G19" s="420"/>
      <c r="H19" s="420"/>
      <c r="I19" s="420"/>
      <c r="J19" s="832"/>
    </row>
    <row r="20" spans="1:10" ht="15" customHeight="1">
      <c r="A20" s="437" t="s">
        <v>21</v>
      </c>
      <c r="B20" s="436" t="s">
        <v>153</v>
      </c>
      <c r="C20" s="413">
        <v>39947000</v>
      </c>
      <c r="D20" s="413">
        <v>73285783</v>
      </c>
      <c r="E20" s="413">
        <f>+'1.1.sz.mell.'!E72-'2.2.sz.mell  '!E18</f>
        <v>88110351</v>
      </c>
      <c r="F20" s="436" t="s">
        <v>478</v>
      </c>
      <c r="G20" s="413"/>
      <c r="H20" s="413"/>
      <c r="I20" s="413"/>
      <c r="J20" s="832"/>
    </row>
    <row r="21" spans="1:10" ht="15" customHeight="1">
      <c r="A21" s="437" t="s">
        <v>22</v>
      </c>
      <c r="B21" s="436" t="s">
        <v>154</v>
      </c>
      <c r="C21" s="413"/>
      <c r="D21" s="413">
        <v>582968</v>
      </c>
      <c r="E21" s="413">
        <f>+'1.1.sz.mell.'!E73</f>
        <v>582968</v>
      </c>
      <c r="F21" s="436" t="s">
        <v>115</v>
      </c>
      <c r="G21" s="413"/>
      <c r="H21" s="413"/>
      <c r="I21" s="413"/>
      <c r="J21" s="832"/>
    </row>
    <row r="22" spans="1:10" ht="15" customHeight="1">
      <c r="A22" s="437" t="s">
        <v>23</v>
      </c>
      <c r="B22" s="436" t="s">
        <v>159</v>
      </c>
      <c r="C22" s="413"/>
      <c r="D22" s="413"/>
      <c r="E22" s="413"/>
      <c r="F22" s="436" t="s">
        <v>116</v>
      </c>
      <c r="G22" s="413"/>
      <c r="H22" s="413"/>
      <c r="I22" s="413"/>
      <c r="J22" s="832"/>
    </row>
    <row r="23" spans="1:10" ht="15" customHeight="1">
      <c r="A23" s="437" t="s">
        <v>24</v>
      </c>
      <c r="B23" s="436" t="s">
        <v>160</v>
      </c>
      <c r="C23" s="413"/>
      <c r="D23" s="413"/>
      <c r="E23" s="413"/>
      <c r="F23" s="435" t="s">
        <v>162</v>
      </c>
      <c r="G23" s="413"/>
      <c r="H23" s="413"/>
      <c r="I23" s="413"/>
      <c r="J23" s="832"/>
    </row>
    <row r="24" spans="1:10" ht="15" customHeight="1">
      <c r="A24" s="437" t="s">
        <v>25</v>
      </c>
      <c r="B24" s="436" t="s">
        <v>472</v>
      </c>
      <c r="C24" s="438">
        <f>+C25+C26</f>
        <v>7323000</v>
      </c>
      <c r="D24" s="438">
        <f>+D25+D26</f>
        <v>4682500</v>
      </c>
      <c r="E24" s="438">
        <f>+E25+E26</f>
        <v>0</v>
      </c>
      <c r="F24" s="436" t="s">
        <v>142</v>
      </c>
      <c r="G24" s="413"/>
      <c r="H24" s="413"/>
      <c r="I24" s="413"/>
      <c r="J24" s="832"/>
    </row>
    <row r="25" spans="1:10" ht="15" customHeight="1">
      <c r="A25" s="434" t="s">
        <v>26</v>
      </c>
      <c r="B25" s="435" t="s">
        <v>473</v>
      </c>
      <c r="C25" s="420">
        <v>7323000</v>
      </c>
      <c r="D25" s="420">
        <v>4682500</v>
      </c>
      <c r="E25" s="420"/>
      <c r="F25" s="429" t="s">
        <v>143</v>
      </c>
      <c r="G25" s="420"/>
      <c r="H25" s="420"/>
      <c r="I25" s="420"/>
      <c r="J25" s="832"/>
    </row>
    <row r="26" spans="1:10" ht="15" customHeight="1" thickBot="1">
      <c r="A26" s="437" t="s">
        <v>27</v>
      </c>
      <c r="B26" s="436" t="s">
        <v>474</v>
      </c>
      <c r="C26" s="413"/>
      <c r="D26" s="413"/>
      <c r="E26" s="413"/>
      <c r="F26" s="7" t="s">
        <v>453</v>
      </c>
      <c r="G26" s="413"/>
      <c r="H26" s="413">
        <v>16664290</v>
      </c>
      <c r="I26" s="413">
        <f>+'1.1.sz.mell.'!E137</f>
        <v>16664290</v>
      </c>
      <c r="J26" s="832"/>
    </row>
    <row r="27" spans="1:10" ht="17.25" customHeight="1" thickBot="1">
      <c r="A27" s="433" t="s">
        <v>28</v>
      </c>
      <c r="B27" s="414" t="s">
        <v>475</v>
      </c>
      <c r="C27" s="419">
        <f>+C19+C24</f>
        <v>47270000</v>
      </c>
      <c r="D27" s="419">
        <f>+D19+D24</f>
        <v>78551251</v>
      </c>
      <c r="E27" s="419">
        <f>+E19+E24</f>
        <v>88693319</v>
      </c>
      <c r="F27" s="414" t="s">
        <v>479</v>
      </c>
      <c r="G27" s="419">
        <f>SUM(G19:G26)</f>
        <v>0</v>
      </c>
      <c r="H27" s="419">
        <f>SUM(H19:H26)</f>
        <v>16664290</v>
      </c>
      <c r="I27" s="419">
        <f>SUM(I19:I26)</f>
        <v>16664290</v>
      </c>
      <c r="J27" s="832"/>
    </row>
    <row r="28" spans="1:10" ht="17.25" customHeight="1" thickBot="1">
      <c r="A28" s="433" t="s">
        <v>29</v>
      </c>
      <c r="B28" s="439" t="s">
        <v>476</v>
      </c>
      <c r="C28" s="101">
        <f>+C18+C27</f>
        <v>1093917836</v>
      </c>
      <c r="D28" s="101">
        <f>+D18+D27</f>
        <v>1194250919</v>
      </c>
      <c r="E28" s="440">
        <f>+E18+E27</f>
        <v>1247431150</v>
      </c>
      <c r="F28" s="439" t="s">
        <v>480</v>
      </c>
      <c r="G28" s="101">
        <f>+G18+G27</f>
        <v>1093917836</v>
      </c>
      <c r="H28" s="101">
        <f>+H18+H27</f>
        <v>1194250919</v>
      </c>
      <c r="I28" s="101">
        <f>+I18+I27</f>
        <v>1083853144</v>
      </c>
      <c r="J28" s="832"/>
    </row>
    <row r="29" spans="1:10" ht="17.25" customHeight="1" thickBot="1">
      <c r="A29" s="433" t="s">
        <v>30</v>
      </c>
      <c r="B29" s="439" t="s">
        <v>119</v>
      </c>
      <c r="C29" s="101">
        <f>IF(C18-G18&lt;0,G18-C18,"-")</f>
        <v>47270000</v>
      </c>
      <c r="D29" s="101">
        <f>IF(D18-H18&lt;0,H18-D18,"-")</f>
        <v>61886961</v>
      </c>
      <c r="E29" s="440" t="str">
        <f>IF(E18-I18&lt;0,I18-E18,"-")</f>
        <v>-</v>
      </c>
      <c r="F29" s="439" t="s">
        <v>120</v>
      </c>
      <c r="G29" s="101" t="str">
        <f>IF(C18-G18&gt;0,C18-G18,"-")</f>
        <v>-</v>
      </c>
      <c r="H29" s="101" t="str">
        <f>IF(D18-H18&gt;0,D18-H18,"-")</f>
        <v>-</v>
      </c>
      <c r="I29" s="101">
        <f>IF(E18-I18&gt;0,E18-I18,"-")</f>
        <v>91548977</v>
      </c>
      <c r="J29" s="832"/>
    </row>
    <row r="30" spans="1:10" ht="17.25" customHeight="1" thickBot="1">
      <c r="A30" s="433" t="s">
        <v>31</v>
      </c>
      <c r="B30" s="439" t="s">
        <v>163</v>
      </c>
      <c r="C30" s="101" t="str">
        <f>IF(C28-G28&lt;0,G28-C28,"-")</f>
        <v>-</v>
      </c>
      <c r="D30" s="101" t="str">
        <f>IF(D28-H28&lt;0,H28-D28,"-")</f>
        <v>-</v>
      </c>
      <c r="E30" s="440" t="str">
        <f>IF(E28-I28&lt;0,I28-E28,"-")</f>
        <v>-</v>
      </c>
      <c r="F30" s="439" t="s">
        <v>164</v>
      </c>
      <c r="G30" s="101" t="str">
        <f>IF(C28-G28&gt;0,C28-G28,"-")</f>
        <v>-</v>
      </c>
      <c r="H30" s="101" t="str">
        <f>IF(D28-H28&gt;0,D28-H28,"-")</f>
        <v>-</v>
      </c>
      <c r="I30" s="101">
        <f>IF(E28-I28&gt;0,E28-I28,"-")</f>
        <v>163578006</v>
      </c>
      <c r="J30" s="832"/>
    </row>
  </sheetData>
  <mergeCells count="2">
    <mergeCell ref="A3:A4"/>
    <mergeCell ref="J1:J30"/>
  </mergeCells>
  <phoneticPr fontId="0" type="noConversion"/>
  <printOptions horizontalCentered="1"/>
  <pageMargins left="0.33" right="0.48" top="0.9055118110236221" bottom="0.5" header="0.6692913385826772" footer="0.28000000000000003"/>
  <pageSetup paperSize="9" scale="70" orientation="landscape" verticalDpi="300" r:id="rId1"/>
  <headerFooter alignWithMargins="0">
    <oddHeader xml:space="preserve">&amp;R&amp;"Times New Roman CE,Félkövér dőlt"&amp;11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J33"/>
  <sheetViews>
    <sheetView topLeftCell="A10" zoomScaleNormal="100" zoomScaleSheetLayoutView="115" workbookViewId="0">
      <selection activeCell="J34" sqref="J34"/>
    </sheetView>
  </sheetViews>
  <sheetFormatPr defaultRowHeight="12.75"/>
  <cols>
    <col min="1" max="1" width="6.83203125" style="10" customWidth="1"/>
    <col min="2" max="2" width="55.1640625" style="26" customWidth="1"/>
    <col min="3" max="5" width="16.33203125" style="10" customWidth="1"/>
    <col min="6" max="6" width="55.1640625" style="10" customWidth="1"/>
    <col min="7" max="9" width="16.33203125" style="10" customWidth="1"/>
    <col min="10" max="10" width="4.83203125" style="10" customWidth="1"/>
    <col min="11" max="16384" width="9.33203125" style="10"/>
  </cols>
  <sheetData>
    <row r="1" spans="1:10" ht="39.75" customHeight="1">
      <c r="B1" s="424" t="s">
        <v>118</v>
      </c>
      <c r="C1" s="425"/>
      <c r="D1" s="425"/>
      <c r="E1" s="425"/>
      <c r="F1" s="425"/>
      <c r="G1" s="425"/>
      <c r="H1" s="425"/>
      <c r="I1" s="425"/>
      <c r="J1" s="835" t="str">
        <f>+CONCATENATE("2.2. melléklet a 15/",LEFT('1.1.sz.mell.'!C3,4)+1,". (V. 30.) önkormányzati rendelethez")</f>
        <v>2.2. melléklet a 15/2017. (V. 30.) önkormányzati rendelethez</v>
      </c>
    </row>
    <row r="2" spans="1:10" ht="14.25" thickBot="1">
      <c r="G2" s="39"/>
      <c r="H2" s="39"/>
      <c r="I2" s="39" t="s">
        <v>769</v>
      </c>
      <c r="J2" s="835"/>
    </row>
    <row r="3" spans="1:10" ht="24" customHeight="1" thickBot="1">
      <c r="A3" s="833" t="s">
        <v>59</v>
      </c>
      <c r="B3" s="452" t="s">
        <v>42</v>
      </c>
      <c r="C3" s="453"/>
      <c r="D3" s="453"/>
      <c r="E3" s="453"/>
      <c r="F3" s="452" t="s">
        <v>43</v>
      </c>
      <c r="G3" s="454"/>
      <c r="H3" s="454"/>
      <c r="I3" s="454"/>
      <c r="J3" s="835"/>
    </row>
    <row r="4" spans="1:10" s="426" customFormat="1" ht="35.25" customHeight="1" thickBot="1">
      <c r="A4" s="834"/>
      <c r="B4" s="27" t="s">
        <v>52</v>
      </c>
      <c r="C4" s="28" t="str">
        <f>+'2.1.sz.mell  '!C4</f>
        <v>2016. évi eredeti előirányzat</v>
      </c>
      <c r="D4" s="412" t="str">
        <f>+'2.1.sz.mell  '!D4</f>
        <v>2016. évi módosított előirányzat</v>
      </c>
      <c r="E4" s="28" t="str">
        <f>+'2.1.sz.mell  '!E4</f>
        <v>2016. évi teljesítés</v>
      </c>
      <c r="F4" s="27" t="s">
        <v>52</v>
      </c>
      <c r="G4" s="28" t="str">
        <f>+'2.1.sz.mell  '!C4</f>
        <v>2016. évi eredeti előirányzat</v>
      </c>
      <c r="H4" s="412" t="str">
        <f>+'2.1.sz.mell  '!D4</f>
        <v>2016. évi módosított előirányzat</v>
      </c>
      <c r="I4" s="442" t="str">
        <f>+'2.1.sz.mell  '!E4</f>
        <v>2016. évi teljesítés</v>
      </c>
      <c r="J4" s="835"/>
    </row>
    <row r="5" spans="1:10" s="426" customFormat="1" ht="13.5" thickBot="1">
      <c r="A5" s="455" t="s">
        <v>409</v>
      </c>
      <c r="B5" s="456" t="s">
        <v>410</v>
      </c>
      <c r="C5" s="457" t="s">
        <v>411</v>
      </c>
      <c r="D5" s="457" t="s">
        <v>412</v>
      </c>
      <c r="E5" s="457" t="s">
        <v>413</v>
      </c>
      <c r="F5" s="456" t="s">
        <v>490</v>
      </c>
      <c r="G5" s="457" t="s">
        <v>491</v>
      </c>
      <c r="H5" s="457" t="s">
        <v>492</v>
      </c>
      <c r="I5" s="458" t="s">
        <v>493</v>
      </c>
      <c r="J5" s="835"/>
    </row>
    <row r="6" spans="1:10" ht="12.95" customHeight="1">
      <c r="A6" s="428" t="s">
        <v>7</v>
      </c>
      <c r="B6" s="429" t="s">
        <v>481</v>
      </c>
      <c r="C6" s="415"/>
      <c r="D6" s="415">
        <v>25271550</v>
      </c>
      <c r="E6" s="415">
        <f>+'1.1.sz.mell.'!E20</f>
        <v>54062786</v>
      </c>
      <c r="F6" s="429" t="s">
        <v>155</v>
      </c>
      <c r="G6" s="415">
        <v>61278000</v>
      </c>
      <c r="H6" s="415">
        <v>124623647</v>
      </c>
      <c r="I6" s="421">
        <f>+'1.1.sz.mell.'!E109</f>
        <v>103983247</v>
      </c>
      <c r="J6" s="835"/>
    </row>
    <row r="7" spans="1:10">
      <c r="A7" s="430" t="s">
        <v>8</v>
      </c>
      <c r="B7" s="431" t="s">
        <v>482</v>
      </c>
      <c r="C7" s="416"/>
      <c r="D7" s="416"/>
      <c r="E7" s="416"/>
      <c r="F7" s="431" t="s">
        <v>494</v>
      </c>
      <c r="G7" s="416"/>
      <c r="H7" s="416"/>
      <c r="I7" s="422"/>
      <c r="J7" s="835"/>
    </row>
    <row r="8" spans="1:10" ht="12.95" customHeight="1">
      <c r="A8" s="430" t="s">
        <v>9</v>
      </c>
      <c r="B8" s="431" t="s">
        <v>483</v>
      </c>
      <c r="C8" s="416">
        <v>12712000</v>
      </c>
      <c r="D8" s="416">
        <v>36474062</v>
      </c>
      <c r="E8" s="416">
        <f>+'1.1.sz.mell.'!E45</f>
        <v>29621577</v>
      </c>
      <c r="F8" s="431" t="s">
        <v>137</v>
      </c>
      <c r="G8" s="416">
        <v>4800000</v>
      </c>
      <c r="H8" s="416">
        <v>39592970</v>
      </c>
      <c r="I8" s="422">
        <f>+'1.1.sz.mell.'!E111</f>
        <v>37270779</v>
      </c>
      <c r="J8" s="835"/>
    </row>
    <row r="9" spans="1:10" ht="12.95" customHeight="1">
      <c r="A9" s="430" t="s">
        <v>10</v>
      </c>
      <c r="B9" s="431" t="s">
        <v>484</v>
      </c>
      <c r="C9" s="416">
        <v>17810000</v>
      </c>
      <c r="D9" s="416">
        <v>17810000</v>
      </c>
      <c r="E9" s="416">
        <f>+'1.1.sz.mell.'!E56</f>
        <v>3030600</v>
      </c>
      <c r="F9" s="431" t="s">
        <v>495</v>
      </c>
      <c r="G9" s="416"/>
      <c r="H9" s="416"/>
      <c r="I9" s="422"/>
      <c r="J9" s="835"/>
    </row>
    <row r="10" spans="1:10" ht="12.75" customHeight="1">
      <c r="A10" s="430" t="s">
        <v>11</v>
      </c>
      <c r="B10" s="431" t="s">
        <v>485</v>
      </c>
      <c r="C10" s="416"/>
      <c r="D10" s="416"/>
      <c r="E10" s="416"/>
      <c r="F10" s="431" t="s">
        <v>158</v>
      </c>
      <c r="G10" s="416"/>
      <c r="H10" s="416"/>
      <c r="I10" s="422"/>
      <c r="J10" s="835"/>
    </row>
    <row r="11" spans="1:10" ht="12.95" customHeight="1">
      <c r="A11" s="430" t="s">
        <v>12</v>
      </c>
      <c r="B11" s="431" t="s">
        <v>486</v>
      </c>
      <c r="C11" s="417"/>
      <c r="D11" s="417"/>
      <c r="E11" s="417"/>
      <c r="F11" s="473"/>
      <c r="G11" s="416"/>
      <c r="H11" s="416"/>
      <c r="I11" s="422"/>
      <c r="J11" s="835"/>
    </row>
    <row r="12" spans="1:10" ht="12.95" customHeight="1">
      <c r="A12" s="430" t="s">
        <v>13</v>
      </c>
      <c r="B12" s="7"/>
      <c r="C12" s="416"/>
      <c r="D12" s="416"/>
      <c r="E12" s="416"/>
      <c r="F12" s="473"/>
      <c r="G12" s="416"/>
      <c r="H12" s="416"/>
      <c r="I12" s="422"/>
      <c r="J12" s="835"/>
    </row>
    <row r="13" spans="1:10" ht="12.95" customHeight="1">
      <c r="A13" s="430" t="s">
        <v>14</v>
      </c>
      <c r="B13" s="7"/>
      <c r="C13" s="416"/>
      <c r="D13" s="416"/>
      <c r="E13" s="416"/>
      <c r="F13" s="474"/>
      <c r="G13" s="416"/>
      <c r="H13" s="416"/>
      <c r="I13" s="422"/>
      <c r="J13" s="835"/>
    </row>
    <row r="14" spans="1:10" ht="12.95" customHeight="1">
      <c r="A14" s="430" t="s">
        <v>15</v>
      </c>
      <c r="B14" s="471"/>
      <c r="C14" s="417"/>
      <c r="D14" s="417"/>
      <c r="E14" s="417"/>
      <c r="F14" s="473"/>
      <c r="G14" s="416"/>
      <c r="H14" s="416"/>
      <c r="I14" s="422"/>
      <c r="J14" s="835"/>
    </row>
    <row r="15" spans="1:10">
      <c r="A15" s="430" t="s">
        <v>16</v>
      </c>
      <c r="B15" s="7"/>
      <c r="C15" s="417"/>
      <c r="D15" s="417"/>
      <c r="E15" s="417"/>
      <c r="F15" s="473"/>
      <c r="G15" s="416"/>
      <c r="H15" s="416"/>
      <c r="I15" s="422"/>
      <c r="J15" s="835"/>
    </row>
    <row r="16" spans="1:10" ht="12.95" customHeight="1" thickBot="1">
      <c r="A16" s="468" t="s">
        <v>17</v>
      </c>
      <c r="B16" s="472"/>
      <c r="C16" s="470"/>
      <c r="D16" s="108"/>
      <c r="E16" s="115"/>
      <c r="F16" s="469" t="s">
        <v>38</v>
      </c>
      <c r="G16" s="416"/>
      <c r="H16" s="416"/>
      <c r="I16" s="422"/>
      <c r="J16" s="835"/>
    </row>
    <row r="17" spans="1:10" ht="15.95" customHeight="1" thickBot="1">
      <c r="A17" s="433" t="s">
        <v>18</v>
      </c>
      <c r="B17" s="414" t="s">
        <v>487</v>
      </c>
      <c r="C17" s="419">
        <f>+C6+C8+C9+C11+C12+C13+C14+C15+C16</f>
        <v>30522000</v>
      </c>
      <c r="D17" s="419">
        <f>+D6+D8+D9+D11+D12+D13+D14+D15+D16</f>
        <v>79555612</v>
      </c>
      <c r="E17" s="419">
        <f>+E6+E8+E9+E11+E12+E13+E14+E15+E16</f>
        <v>86714963</v>
      </c>
      <c r="F17" s="414" t="s">
        <v>496</v>
      </c>
      <c r="G17" s="419">
        <f>+G6+G8+G10+G11+G12+G13+G14+G15+G16</f>
        <v>66078000</v>
      </c>
      <c r="H17" s="419">
        <f>+H6+H8+H10+H11+H12+H13+H14+H15+H16</f>
        <v>164216617</v>
      </c>
      <c r="I17" s="451">
        <f>+I6+I8+I10+I11+I12+I13+I14+I15+I16</f>
        <v>141254026</v>
      </c>
      <c r="J17" s="835"/>
    </row>
    <row r="18" spans="1:10" ht="12.95" customHeight="1">
      <c r="A18" s="428" t="s">
        <v>19</v>
      </c>
      <c r="B18" s="460" t="s">
        <v>176</v>
      </c>
      <c r="C18" s="467">
        <f>+C19+C20+C21+C22+C23</f>
        <v>53000</v>
      </c>
      <c r="D18" s="467">
        <f>+D19+D20+D21+D22+D23</f>
        <v>71876505</v>
      </c>
      <c r="E18" s="467">
        <f>+E19+E20+E21+E22+E23</f>
        <v>57051937</v>
      </c>
      <c r="F18" s="436" t="s">
        <v>141</v>
      </c>
      <c r="G18" s="103"/>
      <c r="H18" s="103"/>
      <c r="I18" s="446"/>
      <c r="J18" s="835"/>
    </row>
    <row r="19" spans="1:10" ht="12.95" customHeight="1">
      <c r="A19" s="430" t="s">
        <v>20</v>
      </c>
      <c r="B19" s="461" t="s">
        <v>165</v>
      </c>
      <c r="C19" s="413">
        <v>53000</v>
      </c>
      <c r="D19" s="413">
        <v>71876505</v>
      </c>
      <c r="E19" s="413">
        <v>57051937</v>
      </c>
      <c r="F19" s="436" t="s">
        <v>144</v>
      </c>
      <c r="G19" s="413"/>
      <c r="H19" s="413"/>
      <c r="I19" s="447"/>
      <c r="J19" s="835"/>
    </row>
    <row r="20" spans="1:10" ht="12.95" customHeight="1">
      <c r="A20" s="428" t="s">
        <v>21</v>
      </c>
      <c r="B20" s="461" t="s">
        <v>166</v>
      </c>
      <c r="C20" s="413"/>
      <c r="D20" s="413"/>
      <c r="E20" s="413"/>
      <c r="F20" s="436" t="s">
        <v>115</v>
      </c>
      <c r="G20" s="413"/>
      <c r="H20" s="413"/>
      <c r="I20" s="447"/>
      <c r="J20" s="835"/>
    </row>
    <row r="21" spans="1:10" ht="12.95" customHeight="1">
      <c r="A21" s="430" t="s">
        <v>22</v>
      </c>
      <c r="B21" s="461" t="s">
        <v>167</v>
      </c>
      <c r="C21" s="413"/>
      <c r="D21" s="413"/>
      <c r="E21" s="413"/>
      <c r="F21" s="436" t="s">
        <v>116</v>
      </c>
      <c r="G21" s="413">
        <v>1633000</v>
      </c>
      <c r="H21" s="413">
        <v>1633000</v>
      </c>
      <c r="I21" s="447">
        <f>+'1.1.sz.mell.'!E127</f>
        <v>1633000</v>
      </c>
      <c r="J21" s="835"/>
    </row>
    <row r="22" spans="1:10" ht="12.95" customHeight="1">
      <c r="A22" s="428" t="s">
        <v>23</v>
      </c>
      <c r="B22" s="461" t="s">
        <v>168</v>
      </c>
      <c r="C22" s="413"/>
      <c r="D22" s="413"/>
      <c r="E22" s="413"/>
      <c r="F22" s="435" t="s">
        <v>162</v>
      </c>
      <c r="G22" s="413"/>
      <c r="H22" s="413"/>
      <c r="I22" s="447"/>
      <c r="J22" s="835"/>
    </row>
    <row r="23" spans="1:10" ht="12.95" customHeight="1">
      <c r="A23" s="430" t="s">
        <v>24</v>
      </c>
      <c r="B23" s="462" t="s">
        <v>169</v>
      </c>
      <c r="C23" s="413"/>
      <c r="D23" s="413"/>
      <c r="E23" s="413"/>
      <c r="F23" s="436" t="s">
        <v>145</v>
      </c>
      <c r="G23" s="413"/>
      <c r="H23" s="413"/>
      <c r="I23" s="447"/>
      <c r="J23" s="835"/>
    </row>
    <row r="24" spans="1:10" ht="12.95" customHeight="1">
      <c r="A24" s="428" t="s">
        <v>25</v>
      </c>
      <c r="B24" s="463" t="s">
        <v>170</v>
      </c>
      <c r="C24" s="438">
        <f>+C25+C26+C27+C28+C29</f>
        <v>38036000</v>
      </c>
      <c r="D24" s="438">
        <f>+D25+D26+D27+D28+D29</f>
        <v>15317500</v>
      </c>
      <c r="E24" s="438">
        <f>+E25+E26+E27+E28+E29</f>
        <v>0</v>
      </c>
      <c r="F24" s="464" t="s">
        <v>143</v>
      </c>
      <c r="G24" s="413"/>
      <c r="H24" s="413"/>
      <c r="I24" s="447"/>
      <c r="J24" s="835"/>
    </row>
    <row r="25" spans="1:10" ht="12.95" customHeight="1">
      <c r="A25" s="430" t="s">
        <v>26</v>
      </c>
      <c r="B25" s="462" t="s">
        <v>171</v>
      </c>
      <c r="C25" s="413">
        <v>38036000</v>
      </c>
      <c r="D25" s="413">
        <v>15317500</v>
      </c>
      <c r="E25" s="413"/>
      <c r="F25" s="464" t="s">
        <v>497</v>
      </c>
      <c r="G25" s="413">
        <v>900000</v>
      </c>
      <c r="H25" s="413">
        <v>900000</v>
      </c>
      <c r="I25" s="447">
        <f>+'1.1.sz.mell.'!E139</f>
        <v>879874</v>
      </c>
      <c r="J25" s="835"/>
    </row>
    <row r="26" spans="1:10" ht="12.95" customHeight="1">
      <c r="A26" s="428" t="s">
        <v>27</v>
      </c>
      <c r="B26" s="462" t="s">
        <v>172</v>
      </c>
      <c r="C26" s="413"/>
      <c r="D26" s="413"/>
      <c r="E26" s="413"/>
      <c r="F26" s="459"/>
      <c r="G26" s="413"/>
      <c r="H26" s="413"/>
      <c r="I26" s="447"/>
      <c r="J26" s="835"/>
    </row>
    <row r="27" spans="1:10" ht="12.95" customHeight="1">
      <c r="A27" s="430" t="s">
        <v>28</v>
      </c>
      <c r="B27" s="461" t="s">
        <v>173</v>
      </c>
      <c r="C27" s="413"/>
      <c r="D27" s="413"/>
      <c r="E27" s="413"/>
      <c r="F27" s="448"/>
      <c r="G27" s="413"/>
      <c r="H27" s="413"/>
      <c r="I27" s="447"/>
      <c r="J27" s="835"/>
    </row>
    <row r="28" spans="1:10" ht="12.95" customHeight="1">
      <c r="A28" s="428" t="s">
        <v>29</v>
      </c>
      <c r="B28" s="465" t="s">
        <v>174</v>
      </c>
      <c r="C28" s="413"/>
      <c r="D28" s="413"/>
      <c r="E28" s="413"/>
      <c r="F28" s="7"/>
      <c r="G28" s="413"/>
      <c r="H28" s="413"/>
      <c r="I28" s="447"/>
      <c r="J28" s="835"/>
    </row>
    <row r="29" spans="1:10" ht="12.95" customHeight="1" thickBot="1">
      <c r="A29" s="430" t="s">
        <v>30</v>
      </c>
      <c r="B29" s="466" t="s">
        <v>175</v>
      </c>
      <c r="C29" s="413"/>
      <c r="D29" s="413"/>
      <c r="E29" s="413"/>
      <c r="F29" s="448"/>
      <c r="G29" s="413"/>
      <c r="H29" s="413"/>
      <c r="I29" s="447"/>
      <c r="J29" s="835"/>
    </row>
    <row r="30" spans="1:10" ht="16.5" customHeight="1" thickBot="1">
      <c r="A30" s="433" t="s">
        <v>31</v>
      </c>
      <c r="B30" s="414" t="s">
        <v>488</v>
      </c>
      <c r="C30" s="419">
        <f>+C18+C24</f>
        <v>38089000</v>
      </c>
      <c r="D30" s="419">
        <f>+D18+D24</f>
        <v>87194005</v>
      </c>
      <c r="E30" s="419">
        <f>+E18+E24</f>
        <v>57051937</v>
      </c>
      <c r="F30" s="414" t="s">
        <v>499</v>
      </c>
      <c r="G30" s="419">
        <f>SUM(G18:G29)</f>
        <v>2533000</v>
      </c>
      <c r="H30" s="419">
        <f>SUM(H18:H29)</f>
        <v>2533000</v>
      </c>
      <c r="I30" s="451">
        <f>SUM(I18:I29)</f>
        <v>2512874</v>
      </c>
      <c r="J30" s="835"/>
    </row>
    <row r="31" spans="1:10" ht="16.5" customHeight="1" thickBot="1">
      <c r="A31" s="433" t="s">
        <v>32</v>
      </c>
      <c r="B31" s="439" t="s">
        <v>489</v>
      </c>
      <c r="C31" s="101">
        <f>+C17+C30</f>
        <v>68611000</v>
      </c>
      <c r="D31" s="101">
        <f>+D17+D30</f>
        <v>166749617</v>
      </c>
      <c r="E31" s="440">
        <f>+E17+E30</f>
        <v>143766900</v>
      </c>
      <c r="F31" s="439" t="s">
        <v>498</v>
      </c>
      <c r="G31" s="101">
        <f>+G17+G30</f>
        <v>68611000</v>
      </c>
      <c r="H31" s="101">
        <f>+H17+H30</f>
        <v>166749617</v>
      </c>
      <c r="I31" s="102">
        <f>+I17+I30</f>
        <v>143766900</v>
      </c>
      <c r="J31" s="835"/>
    </row>
    <row r="32" spans="1:10" ht="16.5" customHeight="1" thickBot="1">
      <c r="A32" s="433" t="s">
        <v>33</v>
      </c>
      <c r="B32" s="439" t="s">
        <v>119</v>
      </c>
      <c r="C32" s="101">
        <f>IF(C17-G17&lt;0,G17-C17,"-")</f>
        <v>35556000</v>
      </c>
      <c r="D32" s="101">
        <f>IF(D17-H17&lt;0,H17-D17,"-")</f>
        <v>84661005</v>
      </c>
      <c r="E32" s="440">
        <f>IF(E17-I17&lt;0,I17-E17,"-")</f>
        <v>54539063</v>
      </c>
      <c r="F32" s="439" t="s">
        <v>120</v>
      </c>
      <c r="G32" s="101" t="str">
        <f>IF(C17-G17&gt;0,C17-G17,"-")</f>
        <v>-</v>
      </c>
      <c r="H32" s="101" t="str">
        <f>IF(D17-H17&gt;0,D17-H17,"-")</f>
        <v>-</v>
      </c>
      <c r="I32" s="102" t="str">
        <f>IF(E17-I17&gt;0,E17-I17,"-")</f>
        <v>-</v>
      </c>
      <c r="J32" s="835"/>
    </row>
    <row r="33" spans="1:10" ht="16.5" customHeight="1" thickBot="1">
      <c r="A33" s="433" t="s">
        <v>34</v>
      </c>
      <c r="B33" s="439" t="s">
        <v>163</v>
      </c>
      <c r="C33" s="101" t="str">
        <f>IF(C26-G26&lt;0,G26-C26,"-")</f>
        <v>-</v>
      </c>
      <c r="D33" s="101" t="str">
        <f>IF(D26-H26&lt;0,H26-D26,"-")</f>
        <v>-</v>
      </c>
      <c r="E33" s="440" t="str">
        <f>IF(E26-I26&lt;0,I26-E26,"-")</f>
        <v>-</v>
      </c>
      <c r="F33" s="439" t="s">
        <v>164</v>
      </c>
      <c r="G33" s="101" t="str">
        <f>IF(C26-G26&gt;0,C26-G26,"-")</f>
        <v>-</v>
      </c>
      <c r="H33" s="101" t="str">
        <f>IF(D26-H26&gt;0,D26-H26,"-")</f>
        <v>-</v>
      </c>
      <c r="I33" s="102" t="str">
        <f>IF(E26-I26&gt;0,E26-I26,"-")</f>
        <v>-</v>
      </c>
      <c r="J33" s="835"/>
    </row>
  </sheetData>
  <mergeCells count="2">
    <mergeCell ref="A3:A4"/>
    <mergeCell ref="J1:J33"/>
  </mergeCells>
  <phoneticPr fontId="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65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E38"/>
  <sheetViews>
    <sheetView zoomScaleNormal="100" zoomScaleSheetLayoutView="115" workbookViewId="0">
      <selection activeCell="B12" sqref="B12"/>
    </sheetView>
  </sheetViews>
  <sheetFormatPr defaultRowHeight="12.75"/>
  <cols>
    <col min="1" max="1" width="46.33203125" style="287" customWidth="1"/>
    <col min="2" max="2" width="15" style="287" customWidth="1"/>
    <col min="3" max="3" width="66.1640625" style="287" customWidth="1"/>
    <col min="4" max="5" width="13.83203125" style="287" customWidth="1"/>
    <col min="6" max="16384" width="9.33203125" style="287"/>
  </cols>
  <sheetData>
    <row r="1" spans="1:5" ht="18.75">
      <c r="A1" s="475" t="s">
        <v>110</v>
      </c>
      <c r="E1" s="481" t="s">
        <v>114</v>
      </c>
    </row>
    <row r="3" spans="1:5">
      <c r="A3" s="476"/>
      <c r="B3" s="482"/>
      <c r="C3" s="476"/>
      <c r="D3" s="483"/>
      <c r="E3" s="482"/>
    </row>
    <row r="4" spans="1:5" ht="15.75">
      <c r="A4" s="450" t="str">
        <f>+ÖSSZEFÜGGÉSEK!A4</f>
        <v>2016. évi eredeti előirányzat BEVÉTELEK</v>
      </c>
      <c r="B4" s="484"/>
      <c r="C4" s="477"/>
      <c r="D4" s="483"/>
      <c r="E4" s="482"/>
    </row>
    <row r="5" spans="1:5">
      <c r="A5" s="476"/>
      <c r="B5" s="482"/>
      <c r="C5" s="476"/>
      <c r="D5" s="483"/>
      <c r="E5" s="482"/>
    </row>
    <row r="6" spans="1:5">
      <c r="A6" s="476" t="s">
        <v>503</v>
      </c>
      <c r="B6" s="482">
        <f>+'1.1.sz.mell.'!C61</f>
        <v>1077169836</v>
      </c>
      <c r="C6" s="476" t="s">
        <v>504</v>
      </c>
      <c r="D6" s="483">
        <f>+'2.1.sz.mell  '!C18+'2.2.sz.mell  '!C17</f>
        <v>1077169836</v>
      </c>
      <c r="E6" s="482">
        <f>+B6-D6</f>
        <v>0</v>
      </c>
    </row>
    <row r="7" spans="1:5">
      <c r="A7" s="476" t="s">
        <v>505</v>
      </c>
      <c r="B7" s="482">
        <f>+'1.1.sz.mell.'!C84</f>
        <v>85359000</v>
      </c>
      <c r="C7" s="476" t="s">
        <v>506</v>
      </c>
      <c r="D7" s="483">
        <f>+'2.1.sz.mell  '!C27+'2.2.sz.mell  '!C30</f>
        <v>85359000</v>
      </c>
      <c r="E7" s="482">
        <f>+B7-D7</f>
        <v>0</v>
      </c>
    </row>
    <row r="8" spans="1:5">
      <c r="A8" s="476" t="s">
        <v>507</v>
      </c>
      <c r="B8" s="482">
        <f>+'1.1.sz.mell.'!C85</f>
        <v>1162528836</v>
      </c>
      <c r="C8" s="476" t="s">
        <v>508</v>
      </c>
      <c r="D8" s="483">
        <f>+'2.1.sz.mell  '!C28+'2.2.sz.mell  '!C31</f>
        <v>1162528836</v>
      </c>
      <c r="E8" s="482">
        <f>+B8-D8</f>
        <v>0</v>
      </c>
    </row>
    <row r="9" spans="1:5">
      <c r="A9" s="476"/>
      <c r="B9" s="482"/>
      <c r="C9" s="476"/>
      <c r="D9" s="483"/>
      <c r="E9" s="482"/>
    </row>
    <row r="10" spans="1:5" ht="15.75">
      <c r="A10" s="450" t="str">
        <f>+ÖSSZEFÜGGÉSEK!A10</f>
        <v>2016. évi módosított előirányzat BEVÉTELEK</v>
      </c>
      <c r="B10" s="484"/>
      <c r="C10" s="477"/>
      <c r="D10" s="483"/>
      <c r="E10" s="482"/>
    </row>
    <row r="11" spans="1:5">
      <c r="A11" s="476"/>
      <c r="B11" s="482"/>
      <c r="C11" s="476"/>
      <c r="D11" s="483"/>
      <c r="E11" s="482"/>
    </row>
    <row r="12" spans="1:5">
      <c r="A12" s="476" t="s">
        <v>509</v>
      </c>
      <c r="B12" s="482">
        <f>+'1.1.sz.mell.'!D61</f>
        <v>1195255280</v>
      </c>
      <c r="C12" s="476" t="s">
        <v>515</v>
      </c>
      <c r="D12" s="483">
        <f>+'2.1.sz.mell  '!D18+'2.2.sz.mell  '!D17</f>
        <v>1195255280</v>
      </c>
      <c r="E12" s="482">
        <f>+B12-D12</f>
        <v>0</v>
      </c>
    </row>
    <row r="13" spans="1:5">
      <c r="A13" s="476" t="s">
        <v>510</v>
      </c>
      <c r="B13" s="482">
        <f>+'1.1.sz.mell.'!D84</f>
        <v>165745256</v>
      </c>
      <c r="C13" s="476" t="s">
        <v>516</v>
      </c>
      <c r="D13" s="483">
        <f>+'2.1.sz.mell  '!D27+'2.2.sz.mell  '!D30</f>
        <v>165745256</v>
      </c>
      <c r="E13" s="482">
        <f>+B13-D13</f>
        <v>0</v>
      </c>
    </row>
    <row r="14" spans="1:5">
      <c r="A14" s="476" t="s">
        <v>511</v>
      </c>
      <c r="B14" s="482">
        <f>+'1.1.sz.mell.'!D85</f>
        <v>1361000536</v>
      </c>
      <c r="C14" s="476" t="s">
        <v>517</v>
      </c>
      <c r="D14" s="483">
        <f>+'2.1.sz.mell  '!D28+'2.2.sz.mell  '!D31</f>
        <v>1361000536</v>
      </c>
      <c r="E14" s="482">
        <f>+B14-D14</f>
        <v>0</v>
      </c>
    </row>
    <row r="15" spans="1:5">
      <c r="A15" s="476"/>
      <c r="B15" s="482"/>
      <c r="C15" s="476"/>
      <c r="D15" s="483"/>
      <c r="E15" s="482"/>
    </row>
    <row r="16" spans="1:5" ht="14.25">
      <c r="A16" s="485" t="str">
        <f>+ÖSSZEFÜGGÉSEK!A16</f>
        <v>2016. évi teljesítés BEVÉTELEK</v>
      </c>
      <c r="B16" s="449"/>
      <c r="C16" s="477"/>
      <c r="D16" s="483"/>
      <c r="E16" s="482"/>
    </row>
    <row r="17" spans="1:5">
      <c r="A17" s="476"/>
      <c r="B17" s="482"/>
      <c r="C17" s="476"/>
      <c r="D17" s="483"/>
      <c r="E17" s="482"/>
    </row>
    <row r="18" spans="1:5">
      <c r="A18" s="476" t="s">
        <v>512</v>
      </c>
      <c r="B18" s="482">
        <f>+'1.1.sz.mell.'!E61</f>
        <v>1245452794</v>
      </c>
      <c r="C18" s="476" t="s">
        <v>518</v>
      </c>
      <c r="D18" s="483">
        <f>+'2.1.sz.mell  '!E18+'2.2.sz.mell  '!E17</f>
        <v>1245452794</v>
      </c>
      <c r="E18" s="482">
        <f>+B18-D18</f>
        <v>0</v>
      </c>
    </row>
    <row r="19" spans="1:5">
      <c r="A19" s="476" t="s">
        <v>513</v>
      </c>
      <c r="B19" s="482">
        <f>+'1.1.sz.mell.'!E84</f>
        <v>163888404</v>
      </c>
      <c r="C19" s="476" t="s">
        <v>519</v>
      </c>
      <c r="D19" s="483">
        <f>+'2.1.sz.mell  '!E27+'2.2.sz.mell  '!E30</f>
        <v>145745256</v>
      </c>
      <c r="E19" s="482">
        <f>+B19-D19</f>
        <v>18143148</v>
      </c>
    </row>
    <row r="20" spans="1:5">
      <c r="A20" s="476" t="s">
        <v>514</v>
      </c>
      <c r="B20" s="482">
        <f>+'1.1.sz.mell.'!E85</f>
        <v>1409341198</v>
      </c>
      <c r="C20" s="476" t="s">
        <v>520</v>
      </c>
      <c r="D20" s="483">
        <f>+'2.1.sz.mell  '!E28+'2.2.sz.mell  '!E31</f>
        <v>1391198050</v>
      </c>
      <c r="E20" s="482">
        <f>+B20-D20</f>
        <v>18143148</v>
      </c>
    </row>
    <row r="21" spans="1:5">
      <c r="A21" s="476"/>
      <c r="B21" s="482"/>
      <c r="C21" s="476"/>
      <c r="D21" s="483"/>
      <c r="E21" s="482"/>
    </row>
    <row r="22" spans="1:5" ht="15.75">
      <c r="A22" s="450" t="str">
        <f>+ÖSSZEFÜGGÉSEK!A22</f>
        <v>2016. évi eredeti előirányzat KIADÁSOK</v>
      </c>
      <c r="B22" s="484"/>
      <c r="C22" s="477"/>
      <c r="D22" s="483"/>
      <c r="E22" s="482"/>
    </row>
    <row r="23" spans="1:5">
      <c r="A23" s="476"/>
      <c r="B23" s="482"/>
      <c r="C23" s="476"/>
      <c r="D23" s="483"/>
      <c r="E23" s="482"/>
    </row>
    <row r="24" spans="1:5">
      <c r="A24" s="476" t="s">
        <v>521</v>
      </c>
      <c r="B24" s="482">
        <f>+'1.1.sz.mell.'!C125</f>
        <v>1159995836</v>
      </c>
      <c r="C24" s="476" t="s">
        <v>527</v>
      </c>
      <c r="D24" s="483">
        <f>+'2.1.sz.mell  '!G18+'2.2.sz.mell  '!G17</f>
        <v>1159995836</v>
      </c>
      <c r="E24" s="482">
        <f>+B24-D24</f>
        <v>0</v>
      </c>
    </row>
    <row r="25" spans="1:5">
      <c r="A25" s="476" t="s">
        <v>500</v>
      </c>
      <c r="B25" s="482">
        <f>+'1.1.sz.mell.'!C145</f>
        <v>2533000</v>
      </c>
      <c r="C25" s="476" t="s">
        <v>528</v>
      </c>
      <c r="D25" s="483">
        <f>+'2.1.sz.mell  '!G27+'2.2.sz.mell  '!G30</f>
        <v>2533000</v>
      </c>
      <c r="E25" s="482">
        <f>+B25-D25</f>
        <v>0</v>
      </c>
    </row>
    <row r="26" spans="1:5">
      <c r="A26" s="476" t="s">
        <v>522</v>
      </c>
      <c r="B26" s="482">
        <f>+'1.1.sz.mell.'!C146</f>
        <v>1162528836</v>
      </c>
      <c r="C26" s="476" t="s">
        <v>529</v>
      </c>
      <c r="D26" s="483">
        <f>+'2.1.sz.mell  '!G28+'2.2.sz.mell  '!G31</f>
        <v>1162528836</v>
      </c>
      <c r="E26" s="482">
        <f>+B26-D26</f>
        <v>0</v>
      </c>
    </row>
    <row r="27" spans="1:5">
      <c r="A27" s="476"/>
      <c r="B27" s="482"/>
      <c r="C27" s="476"/>
      <c r="D27" s="483"/>
      <c r="E27" s="482"/>
    </row>
    <row r="28" spans="1:5" ht="15.75">
      <c r="A28" s="450" t="str">
        <f>+ÖSSZEFÜGGÉSEK!A28</f>
        <v>2016. évi módosított előirányzat KIADÁSOK</v>
      </c>
      <c r="B28" s="484"/>
      <c r="C28" s="477"/>
      <c r="D28" s="483"/>
      <c r="E28" s="482"/>
    </row>
    <row r="29" spans="1:5">
      <c r="A29" s="476"/>
      <c r="B29" s="482"/>
      <c r="C29" s="476"/>
      <c r="D29" s="483"/>
      <c r="E29" s="482"/>
    </row>
    <row r="30" spans="1:5">
      <c r="A30" s="476" t="s">
        <v>523</v>
      </c>
      <c r="B30" s="482">
        <f>+'1.1.sz.mell.'!D125</f>
        <v>1341803246</v>
      </c>
      <c r="C30" s="476" t="s">
        <v>534</v>
      </c>
      <c r="D30" s="483">
        <f>+'2.1.sz.mell  '!H18+'2.2.sz.mell  '!H17</f>
        <v>1341803246</v>
      </c>
      <c r="E30" s="482">
        <f>+B30-D30</f>
        <v>0</v>
      </c>
    </row>
    <row r="31" spans="1:5">
      <c r="A31" s="476" t="s">
        <v>501</v>
      </c>
      <c r="B31" s="482">
        <f>+'1.1.sz.mell.'!D145</f>
        <v>19197290</v>
      </c>
      <c r="C31" s="476" t="s">
        <v>531</v>
      </c>
      <c r="D31" s="483">
        <f>+'2.1.sz.mell  '!H27+'2.2.sz.mell  '!H30</f>
        <v>19197290</v>
      </c>
      <c r="E31" s="482">
        <f>+B31-D31</f>
        <v>0</v>
      </c>
    </row>
    <row r="32" spans="1:5">
      <c r="A32" s="476" t="s">
        <v>524</v>
      </c>
      <c r="B32" s="482">
        <f>+'1.1.sz.mell.'!D146</f>
        <v>1361000536</v>
      </c>
      <c r="C32" s="476" t="s">
        <v>530</v>
      </c>
      <c r="D32" s="483">
        <f>+'2.1.sz.mell  '!H28+'2.2.sz.mell  '!H31</f>
        <v>1361000536</v>
      </c>
      <c r="E32" s="482">
        <f>+B32-D32</f>
        <v>0</v>
      </c>
    </row>
    <row r="33" spans="1:5">
      <c r="A33" s="476"/>
      <c r="B33" s="482"/>
      <c r="C33" s="476"/>
      <c r="D33" s="483"/>
      <c r="E33" s="482"/>
    </row>
    <row r="34" spans="1:5" ht="15.75">
      <c r="A34" s="480" t="str">
        <f>+ÖSSZEFÜGGÉSEK!A34</f>
        <v>2016. évi teljesítés KIADÁSOK</v>
      </c>
      <c r="B34" s="484"/>
      <c r="C34" s="477"/>
      <c r="D34" s="483"/>
      <c r="E34" s="482"/>
    </row>
    <row r="35" spans="1:5">
      <c r="A35" s="476"/>
      <c r="B35" s="482"/>
      <c r="C35" s="476"/>
      <c r="D35" s="483"/>
      <c r="E35" s="482"/>
    </row>
    <row r="36" spans="1:5">
      <c r="A36" s="476" t="s">
        <v>525</v>
      </c>
      <c r="B36" s="482">
        <f>+'1.1.sz.mell.'!E125</f>
        <v>1208442880</v>
      </c>
      <c r="C36" s="476" t="s">
        <v>535</v>
      </c>
      <c r="D36" s="483">
        <f>+'2.1.sz.mell  '!I18+'2.2.sz.mell  '!I17</f>
        <v>1208442880</v>
      </c>
      <c r="E36" s="482">
        <f>+B36-D36</f>
        <v>0</v>
      </c>
    </row>
    <row r="37" spans="1:5">
      <c r="A37" s="476" t="s">
        <v>502</v>
      </c>
      <c r="B37" s="482">
        <f>+'1.1.sz.mell.'!E145</f>
        <v>19177164</v>
      </c>
      <c r="C37" s="476" t="s">
        <v>533</v>
      </c>
      <c r="D37" s="483">
        <f>+'2.1.sz.mell  '!I27+'2.2.sz.mell  '!I30</f>
        <v>19177164</v>
      </c>
      <c r="E37" s="482">
        <f>+B37-D37</f>
        <v>0</v>
      </c>
    </row>
    <row r="38" spans="1:5">
      <c r="A38" s="476" t="s">
        <v>526</v>
      </c>
      <c r="B38" s="482">
        <f>+'1.1.sz.mell.'!E146</f>
        <v>1227620044</v>
      </c>
      <c r="C38" s="476" t="s">
        <v>532</v>
      </c>
      <c r="D38" s="483">
        <f>+'2.1.sz.mell  '!I28+'2.2.sz.mell  '!I31</f>
        <v>1227620044</v>
      </c>
      <c r="E38" s="482">
        <f>+B38-D38</f>
        <v>0</v>
      </c>
    </row>
  </sheetData>
  <phoneticPr fontId="27" type="noConversion"/>
  <conditionalFormatting sqref="E3:E38">
    <cfRule type="cellIs" dxfId="2" priority="1" stopIfTrue="1" operator="notEqual">
      <formula>0</formula>
    </cfRule>
  </conditionalFormatting>
  <pageMargins left="0.79" right="0.56999999999999995" top="0.88" bottom="0.66" header="0.5" footer="0.5"/>
  <pageSetup paperSize="9" scale="9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H33"/>
  <sheetViews>
    <sheetView view="pageLayout" topLeftCell="A12" zoomScaleNormal="100" workbookViewId="0">
      <selection activeCell="H25" sqref="H25"/>
    </sheetView>
  </sheetViews>
  <sheetFormatPr defaultRowHeight="12.75"/>
  <cols>
    <col min="1" max="1" width="39.6640625" style="5" customWidth="1"/>
    <col min="2" max="7" width="15.6640625" style="4" customWidth="1"/>
    <col min="8" max="8" width="5.1640625" style="4" customWidth="1"/>
    <col min="9" max="16384" width="9.33203125" style="4"/>
  </cols>
  <sheetData>
    <row r="1" spans="1:8" ht="18" customHeight="1">
      <c r="A1" s="837" t="s">
        <v>1</v>
      </c>
      <c r="B1" s="837"/>
      <c r="C1" s="837"/>
      <c r="D1" s="837"/>
      <c r="E1" s="837"/>
      <c r="F1" s="837"/>
      <c r="G1" s="837"/>
      <c r="H1" s="838" t="str">
        <f>+CONCATENATE("3. melléklet a 15/",LEFT(ÖSSZEFÜGGÉSEK!A4,4)+1,". (V. 30.) önkormányzati rendelethez")</f>
        <v>3. melléklet a 15/2017. (V. 30.) önkormányzati rendelethez</v>
      </c>
    </row>
    <row r="2" spans="1:8" ht="22.5" customHeight="1" thickBot="1">
      <c r="A2" s="26"/>
      <c r="B2" s="10"/>
      <c r="C2" s="10"/>
      <c r="D2" s="10"/>
      <c r="E2" s="10"/>
      <c r="F2" s="836" t="s">
        <v>51</v>
      </c>
      <c r="G2" s="836"/>
      <c r="H2" s="838"/>
    </row>
    <row r="3" spans="1:8" s="6" customFormat="1" ht="50.25" customHeight="1" thickBot="1">
      <c r="A3" s="27" t="s">
        <v>55</v>
      </c>
      <c r="B3" s="28" t="s">
        <v>56</v>
      </c>
      <c r="C3" s="28" t="s">
        <v>57</v>
      </c>
      <c r="D3" s="28" t="str">
        <f>+CONCATENATE("Felhasználás ",LEFT(ÖSSZEFÜGGÉSEK!A4,4)-1,". XII.31-ig")</f>
        <v>Felhasználás 2015. XII.31-ig</v>
      </c>
      <c r="E3" s="28" t="str">
        <f>+CONCATENATE(LEFT(ÖSSZEFÜGGÉSEK!A4,4),". évi módosított előirányzat")</f>
        <v>2016. évi módosított előirányzat</v>
      </c>
      <c r="F3" s="105" t="str">
        <f>+CONCATENATE(LEFT(ÖSSZEFÜGGÉSEK!A4,4),". évi teljesítés")</f>
        <v>2016. évi teljesítés</v>
      </c>
      <c r="G3" s="104" t="str">
        <f>+CONCATENATE("Összes teljesítés ",LEFT(ÖSSZEFÜGGÉSEK!A4,4),". dec. 31-ig")</f>
        <v>Összes teljesítés 2016. dec. 31-ig</v>
      </c>
      <c r="H3" s="838"/>
    </row>
    <row r="4" spans="1:8" s="10" customFormat="1" ht="12" customHeight="1" thickBot="1">
      <c r="A4" s="443" t="s">
        <v>409</v>
      </c>
      <c r="B4" s="444" t="s">
        <v>410</v>
      </c>
      <c r="C4" s="444" t="s">
        <v>411</v>
      </c>
      <c r="D4" s="444" t="s">
        <v>412</v>
      </c>
      <c r="E4" s="444" t="s">
        <v>413</v>
      </c>
      <c r="F4" s="49" t="s">
        <v>490</v>
      </c>
      <c r="G4" s="445" t="s">
        <v>536</v>
      </c>
      <c r="H4" s="838"/>
    </row>
    <row r="5" spans="1:8" ht="15.95" customHeight="1">
      <c r="A5" s="7" t="s">
        <v>738</v>
      </c>
      <c r="B5" s="2">
        <v>18278</v>
      </c>
      <c r="C5" s="11">
        <v>2016</v>
      </c>
      <c r="D5" s="2"/>
      <c r="E5" s="2">
        <v>23278</v>
      </c>
      <c r="F5" s="50">
        <v>31903</v>
      </c>
      <c r="G5" s="51">
        <f>+D5+F5</f>
        <v>31903</v>
      </c>
      <c r="H5" s="838"/>
    </row>
    <row r="6" spans="1:8" ht="15.95" customHeight="1">
      <c r="A6" s="7" t="s">
        <v>739</v>
      </c>
      <c r="B6" s="2">
        <v>15000</v>
      </c>
      <c r="C6" s="11">
        <v>2016</v>
      </c>
      <c r="D6" s="2"/>
      <c r="E6" s="2">
        <v>52923</v>
      </c>
      <c r="F6" s="50">
        <v>40602</v>
      </c>
      <c r="G6" s="51">
        <f t="shared" ref="G6:G23" si="0">+D6+F6</f>
        <v>40602</v>
      </c>
      <c r="H6" s="838"/>
    </row>
    <row r="7" spans="1:8" ht="15.95" customHeight="1">
      <c r="A7" s="7" t="s">
        <v>740</v>
      </c>
      <c r="B7" s="2">
        <v>4000</v>
      </c>
      <c r="C7" s="11">
        <v>2016</v>
      </c>
      <c r="D7" s="2"/>
      <c r="E7" s="2">
        <v>4000</v>
      </c>
      <c r="F7" s="50"/>
      <c r="G7" s="51">
        <f t="shared" si="0"/>
        <v>0</v>
      </c>
      <c r="H7" s="838"/>
    </row>
    <row r="8" spans="1:8" ht="15.95" customHeight="1">
      <c r="A8" s="7" t="s">
        <v>741</v>
      </c>
      <c r="B8" s="2">
        <v>1500</v>
      </c>
      <c r="C8" s="11">
        <v>2016</v>
      </c>
      <c r="D8" s="2"/>
      <c r="E8" s="2">
        <v>1500</v>
      </c>
      <c r="F8" s="50"/>
      <c r="G8" s="51">
        <f t="shared" si="0"/>
        <v>0</v>
      </c>
      <c r="H8" s="838"/>
    </row>
    <row r="9" spans="1:8" ht="15.95" customHeight="1">
      <c r="A9" s="7" t="s">
        <v>742</v>
      </c>
      <c r="B9" s="2">
        <v>10000</v>
      </c>
      <c r="C9" s="11">
        <v>2016</v>
      </c>
      <c r="D9" s="2"/>
      <c r="E9" s="2">
        <v>10000</v>
      </c>
      <c r="F9" s="50">
        <v>5715</v>
      </c>
      <c r="G9" s="51">
        <f t="shared" si="0"/>
        <v>5715</v>
      </c>
      <c r="H9" s="838"/>
    </row>
    <row r="10" spans="1:8" ht="15.95" customHeight="1">
      <c r="A10" s="7" t="s">
        <v>743</v>
      </c>
      <c r="B10" s="2">
        <v>12500</v>
      </c>
      <c r="C10" s="11">
        <v>2016</v>
      </c>
      <c r="D10" s="2"/>
      <c r="E10" s="2">
        <v>12378</v>
      </c>
      <c r="F10" s="50"/>
      <c r="G10" s="51">
        <f t="shared" si="0"/>
        <v>0</v>
      </c>
      <c r="H10" s="838"/>
    </row>
    <row r="11" spans="1:8" ht="23.25" customHeight="1">
      <c r="A11" s="7" t="s">
        <v>748</v>
      </c>
      <c r="B11" s="2"/>
      <c r="C11" s="11">
        <v>2016</v>
      </c>
      <c r="D11" s="2"/>
      <c r="E11" s="2">
        <v>4185</v>
      </c>
      <c r="F11" s="50">
        <v>5315</v>
      </c>
      <c r="G11" s="51">
        <f t="shared" si="0"/>
        <v>5315</v>
      </c>
      <c r="H11" s="838"/>
    </row>
    <row r="12" spans="1:8" ht="15.95" customHeight="1">
      <c r="A12" s="7" t="s">
        <v>749</v>
      </c>
      <c r="B12" s="2"/>
      <c r="C12" s="11">
        <v>2016</v>
      </c>
      <c r="D12" s="2"/>
      <c r="E12" s="2">
        <v>10000</v>
      </c>
      <c r="F12" s="50">
        <v>14461</v>
      </c>
      <c r="G12" s="51">
        <f t="shared" si="0"/>
        <v>14461</v>
      </c>
      <c r="H12" s="838"/>
    </row>
    <row r="13" spans="1:8" ht="15.95" customHeight="1">
      <c r="A13" s="7" t="s">
        <v>750</v>
      </c>
      <c r="B13" s="2"/>
      <c r="C13" s="11">
        <v>2016</v>
      </c>
      <c r="D13" s="2"/>
      <c r="E13" s="2">
        <v>488</v>
      </c>
      <c r="F13" s="50">
        <v>488</v>
      </c>
      <c r="G13" s="51">
        <f t="shared" si="0"/>
        <v>488</v>
      </c>
      <c r="H13" s="838"/>
    </row>
    <row r="14" spans="1:8" ht="15.95" customHeight="1">
      <c r="A14" s="7"/>
      <c r="B14" s="2"/>
      <c r="C14" s="11"/>
      <c r="D14" s="2"/>
      <c r="E14" s="2"/>
      <c r="F14" s="50"/>
      <c r="G14" s="51">
        <f t="shared" si="0"/>
        <v>0</v>
      </c>
      <c r="H14" s="838"/>
    </row>
    <row r="15" spans="1:8" ht="15.95" customHeight="1">
      <c r="A15" s="7"/>
      <c r="B15" s="2"/>
      <c r="C15" s="11"/>
      <c r="D15" s="2"/>
      <c r="E15" s="2"/>
      <c r="F15" s="50"/>
      <c r="G15" s="51">
        <f t="shared" si="0"/>
        <v>0</v>
      </c>
      <c r="H15" s="838"/>
    </row>
    <row r="16" spans="1:8" ht="15.95" customHeight="1">
      <c r="A16" s="7"/>
      <c r="B16" s="2"/>
      <c r="C16" s="11"/>
      <c r="D16" s="2"/>
      <c r="E16" s="2"/>
      <c r="F16" s="50"/>
      <c r="G16" s="51">
        <f t="shared" si="0"/>
        <v>0</v>
      </c>
      <c r="H16" s="838"/>
    </row>
    <row r="17" spans="1:8" ht="15.95" customHeight="1">
      <c r="A17" s="7"/>
      <c r="B17" s="2"/>
      <c r="C17" s="11"/>
      <c r="D17" s="2"/>
      <c r="E17" s="2"/>
      <c r="F17" s="50"/>
      <c r="G17" s="51">
        <f t="shared" si="0"/>
        <v>0</v>
      </c>
      <c r="H17" s="838"/>
    </row>
    <row r="18" spans="1:8" ht="15.95" customHeight="1">
      <c r="A18" s="7"/>
      <c r="B18" s="2"/>
      <c r="C18" s="11"/>
      <c r="D18" s="2"/>
      <c r="E18" s="2"/>
      <c r="F18" s="50"/>
      <c r="G18" s="51">
        <f t="shared" si="0"/>
        <v>0</v>
      </c>
      <c r="H18" s="838"/>
    </row>
    <row r="19" spans="1:8" ht="15.95" customHeight="1">
      <c r="A19" s="7"/>
      <c r="B19" s="2"/>
      <c r="C19" s="11"/>
      <c r="D19" s="2"/>
      <c r="E19" s="2"/>
      <c r="F19" s="50"/>
      <c r="G19" s="51">
        <f t="shared" si="0"/>
        <v>0</v>
      </c>
      <c r="H19" s="838"/>
    </row>
    <row r="20" spans="1:8" ht="15.95" customHeight="1">
      <c r="A20" s="7"/>
      <c r="B20" s="2"/>
      <c r="C20" s="11"/>
      <c r="D20" s="2"/>
      <c r="E20" s="2"/>
      <c r="F20" s="50"/>
      <c r="G20" s="51">
        <f t="shared" si="0"/>
        <v>0</v>
      </c>
      <c r="H20" s="838"/>
    </row>
    <row r="21" spans="1:8" ht="15.95" customHeight="1">
      <c r="A21" s="7"/>
      <c r="B21" s="2"/>
      <c r="C21" s="11"/>
      <c r="D21" s="2"/>
      <c r="E21" s="2"/>
      <c r="F21" s="50"/>
      <c r="G21" s="51">
        <f t="shared" si="0"/>
        <v>0</v>
      </c>
      <c r="H21" s="838"/>
    </row>
    <row r="22" spans="1:8" ht="15.95" customHeight="1">
      <c r="A22" s="7"/>
      <c r="B22" s="2"/>
      <c r="C22" s="11"/>
      <c r="D22" s="2"/>
      <c r="E22" s="2"/>
      <c r="F22" s="50"/>
      <c r="G22" s="51">
        <f t="shared" si="0"/>
        <v>0</v>
      </c>
      <c r="H22" s="838"/>
    </row>
    <row r="23" spans="1:8" ht="15.95" customHeight="1" thickBot="1">
      <c r="A23" s="12"/>
      <c r="B23" s="3"/>
      <c r="C23" s="13"/>
      <c r="D23" s="3"/>
      <c r="E23" s="3"/>
      <c r="F23" s="52"/>
      <c r="G23" s="51">
        <f t="shared" si="0"/>
        <v>0</v>
      </c>
      <c r="H23" s="838"/>
    </row>
    <row r="24" spans="1:8" s="16" customFormat="1" ht="18" customHeight="1" thickBot="1">
      <c r="A24" s="29" t="s">
        <v>54</v>
      </c>
      <c r="B24" s="14">
        <f>SUM(B5:B23)</f>
        <v>61278</v>
      </c>
      <c r="C24" s="21"/>
      <c r="D24" s="14">
        <f>SUM(D5:D23)</f>
        <v>0</v>
      </c>
      <c r="E24" s="14">
        <f>SUM(E5:E23)</f>
        <v>118752</v>
      </c>
      <c r="F24" s="14">
        <f>SUM(F5:F23)</f>
        <v>98484</v>
      </c>
      <c r="G24" s="15">
        <f>SUM(G5:G23)</f>
        <v>98484</v>
      </c>
      <c r="H24" s="838"/>
    </row>
    <row r="25" spans="1:8">
      <c r="F25" s="16"/>
      <c r="G25" s="16"/>
      <c r="H25" s="628"/>
    </row>
    <row r="26" spans="1:8">
      <c r="H26" s="628"/>
    </row>
    <row r="27" spans="1:8">
      <c r="H27" s="628"/>
    </row>
    <row r="28" spans="1:8">
      <c r="H28" s="628"/>
    </row>
    <row r="29" spans="1:8">
      <c r="H29" s="628"/>
    </row>
    <row r="30" spans="1:8">
      <c r="H30" s="628"/>
    </row>
    <row r="31" spans="1:8">
      <c r="H31" s="628"/>
    </row>
    <row r="32" spans="1:8">
      <c r="H32" s="628"/>
    </row>
    <row r="33" spans="8:8">
      <c r="H33" s="628"/>
    </row>
  </sheetData>
  <mergeCells count="3">
    <mergeCell ref="F2:G2"/>
    <mergeCell ref="A1:G1"/>
    <mergeCell ref="H1:H24"/>
  </mergeCells>
  <phoneticPr fontId="0" type="noConversion"/>
  <printOptions horizontalCentered="1"/>
  <pageMargins left="0.78740157480314965" right="0.78740157480314965" top="1" bottom="0.98425196850393704" header="0.78740157480314965" footer="0.78740157480314965"/>
  <pageSetup paperSize="9" scale="10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48</vt:i4>
      </vt:variant>
      <vt:variant>
        <vt:lpstr>Névvel ellátott tartományok</vt:lpstr>
      </vt:variant>
      <vt:variant>
        <vt:i4>31</vt:i4>
      </vt:variant>
    </vt:vector>
  </HeadingPairs>
  <TitlesOfParts>
    <vt:vector size="79" baseType="lpstr">
      <vt:lpstr>ÖSSZEFÜGGÉSEK</vt:lpstr>
      <vt:lpstr>1.1.sz.mell.</vt:lpstr>
      <vt:lpstr>1.2.sz.mell.</vt:lpstr>
      <vt:lpstr>1.3.sz.mell.</vt:lpstr>
      <vt:lpstr>1.4.sz.mell.</vt:lpstr>
      <vt:lpstr>2.1.sz.mell  </vt:lpstr>
      <vt:lpstr>2.2.sz.mell  </vt:lpstr>
      <vt:lpstr>ELLENŐRZÉS-1.sz.2.1.sz.2.2.sz.</vt:lpstr>
      <vt:lpstr>3.sz.mell.</vt:lpstr>
      <vt:lpstr>4.sz.mell.</vt:lpstr>
      <vt:lpstr>5. sz. mell. </vt:lpstr>
      <vt:lpstr>6.1. sz. mell</vt:lpstr>
      <vt:lpstr>6.2. sz. mell</vt:lpstr>
      <vt:lpstr>6.3. sz. mell</vt:lpstr>
      <vt:lpstr>6.4. sz. mell</vt:lpstr>
      <vt:lpstr>7.1. sz. mell</vt:lpstr>
      <vt:lpstr>7.2. sz. mell</vt:lpstr>
      <vt:lpstr>7.3. sz. mell</vt:lpstr>
      <vt:lpstr>7.4. sz. mell</vt:lpstr>
      <vt:lpstr>8.1. sz. mell.</vt:lpstr>
      <vt:lpstr>8.1.1. sz. mell.</vt:lpstr>
      <vt:lpstr>8.1.2. sz. mell.</vt:lpstr>
      <vt:lpstr>8.1.3. sz. mell.</vt:lpstr>
      <vt:lpstr>8.2. sz. mell.</vt:lpstr>
      <vt:lpstr>8.2.1. sz. mell.</vt:lpstr>
      <vt:lpstr>8.2.2. sz. mell.</vt:lpstr>
      <vt:lpstr>8.2.3. sz. mell.</vt:lpstr>
      <vt:lpstr>8.3. sz. mell.</vt:lpstr>
      <vt:lpstr>8.3.1. sz. mell.</vt:lpstr>
      <vt:lpstr>8.3.2. sz. mell. </vt:lpstr>
      <vt:lpstr>8.3.3. sz. mell.</vt:lpstr>
      <vt:lpstr>9. sz. mell</vt:lpstr>
      <vt:lpstr>9.1. sz. mell</vt:lpstr>
      <vt:lpstr>10. sz. mell</vt:lpstr>
      <vt:lpstr>11. sz. mell</vt:lpstr>
      <vt:lpstr>12. sz. mell</vt:lpstr>
      <vt:lpstr>13. sz. mell</vt:lpstr>
      <vt:lpstr>14. sz. mell</vt:lpstr>
      <vt:lpstr>15. sz. mell</vt:lpstr>
      <vt:lpstr>1.tájékoztató</vt:lpstr>
      <vt:lpstr>2. tájékoztató tábla</vt:lpstr>
      <vt:lpstr>3. tájékoztató tábla</vt:lpstr>
      <vt:lpstr>4. tájékoztató tábla</vt:lpstr>
      <vt:lpstr>5. tájékoztató tábla</vt:lpstr>
      <vt:lpstr>6. tájékoztató tábla</vt:lpstr>
      <vt:lpstr>7. tájékoztató tábla</vt:lpstr>
      <vt:lpstr>8. tájékoztató tábla</vt:lpstr>
      <vt:lpstr>Munka1</vt:lpstr>
      <vt:lpstr>'13. sz. mell'!_ftn1</vt:lpstr>
      <vt:lpstr>'13. sz. mell'!_ftnref1</vt:lpstr>
      <vt:lpstr>'11. sz. mell'!Nyomtatási_cím</vt:lpstr>
      <vt:lpstr>'6.1. sz. mell'!Nyomtatási_cím</vt:lpstr>
      <vt:lpstr>'6.2. sz. mell'!Nyomtatási_cím</vt:lpstr>
      <vt:lpstr>'6.3. sz. mell'!Nyomtatási_cím</vt:lpstr>
      <vt:lpstr>'6.4. sz. mell'!Nyomtatási_cím</vt:lpstr>
      <vt:lpstr>'7.1. sz. mell'!Nyomtatási_cím</vt:lpstr>
      <vt:lpstr>'7.2. sz. mell'!Nyomtatási_cím</vt:lpstr>
      <vt:lpstr>'7.3. sz. mell'!Nyomtatási_cím</vt:lpstr>
      <vt:lpstr>'7.4. sz. mell'!Nyomtatási_cím</vt:lpstr>
      <vt:lpstr>'8.1. sz. mell.'!Nyomtatási_cím</vt:lpstr>
      <vt:lpstr>'8.1.1. sz. mell.'!Nyomtatási_cím</vt:lpstr>
      <vt:lpstr>'8.1.2. sz. mell.'!Nyomtatási_cím</vt:lpstr>
      <vt:lpstr>'8.1.3. sz. mell.'!Nyomtatási_cím</vt:lpstr>
      <vt:lpstr>'8.2. sz. mell.'!Nyomtatási_cím</vt:lpstr>
      <vt:lpstr>'8.2.1. sz. mell.'!Nyomtatási_cím</vt:lpstr>
      <vt:lpstr>'8.2.2. sz. mell.'!Nyomtatási_cím</vt:lpstr>
      <vt:lpstr>'8.2.3. sz. mell.'!Nyomtatási_cím</vt:lpstr>
      <vt:lpstr>'8.3. sz. mell.'!Nyomtatási_cím</vt:lpstr>
      <vt:lpstr>'8.3.1. sz. mell.'!Nyomtatási_cím</vt:lpstr>
      <vt:lpstr>'8.3.2. sz. mell. '!Nyomtatási_cím</vt:lpstr>
      <vt:lpstr>'8.3.3. sz. mell.'!Nyomtatási_cím</vt:lpstr>
      <vt:lpstr>'1.1.sz.mell.'!Nyomtatási_terület</vt:lpstr>
      <vt:lpstr>'1.2.sz.mell.'!Nyomtatási_terület</vt:lpstr>
      <vt:lpstr>'1.3.sz.mell.'!Nyomtatási_terület</vt:lpstr>
      <vt:lpstr>'1.4.sz.mell.'!Nyomtatási_terület</vt:lpstr>
      <vt:lpstr>'1.tájékoztató'!Nyomtatási_terület</vt:lpstr>
      <vt:lpstr>'11. sz. mell'!Nyomtatási_terület</vt:lpstr>
      <vt:lpstr>'12. sz. mell'!Nyomtatási_terület</vt:lpstr>
      <vt:lpstr>'2.1.sz.mell  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kulcsár margó</dc:creator>
  <cp:lastModifiedBy>margo</cp:lastModifiedBy>
  <cp:lastPrinted>2017-05-30T12:40:54Z</cp:lastPrinted>
  <dcterms:created xsi:type="dcterms:W3CDTF">1999-10-30T10:30:45Z</dcterms:created>
  <dcterms:modified xsi:type="dcterms:W3CDTF">2017-05-30T12:46:34Z</dcterms:modified>
</cp:coreProperties>
</file>