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F:\Margó\KÖLTSÉGVETÉS\2017\Költségvetés módosítás\2017. 12. 31\"/>
    </mc:Choice>
  </mc:AlternateContent>
  <bookViews>
    <workbookView xWindow="0" yWindow="0" windowWidth="20490" windowHeight="7155" tabRatio="727" firstSheet="19" activeTab="23"/>
  </bookViews>
  <sheets>
    <sheet name="ÖSSZEFÜGGÉSEK" sheetId="75" r:id="rId1"/>
    <sheet name="1.1.sz.mell." sheetId="1" r:id="rId2"/>
    <sheet name="1.2.sz.mell." sheetId="116" r:id="rId3"/>
    <sheet name="1.3.sz.mell." sheetId="117" r:id="rId4"/>
    <sheet name="1.4.sz.mell." sheetId="118" r:id="rId5"/>
    <sheet name="2.1.sz.mell  " sheetId="73" r:id="rId6"/>
    <sheet name="2.2.sz.mell  " sheetId="61" r:id="rId7"/>
    <sheet name="ELLENŐRZÉS-1.sz.2.a.sz.2.b.sz." sheetId="76" r:id="rId8"/>
    <sheet name="3.sz.mell.  " sheetId="62" r:id="rId9"/>
    <sheet name="4.sz.mell." sheetId="77" r:id="rId10"/>
    <sheet name="5.sz.mell." sheetId="78" r:id="rId11"/>
    <sheet name="6.sz.mell." sheetId="63" r:id="rId12"/>
    <sheet name="7.sz.mell." sheetId="64" r:id="rId13"/>
    <sheet name="8. sz. mell. " sheetId="71" r:id="rId14"/>
    <sheet name="9.1. sz. mell ÖNK" sheetId="3" r:id="rId15"/>
    <sheet name="9.1.1. sz. mell ÖNK" sheetId="119" r:id="rId16"/>
    <sheet name="9.1.2. sz. mell ÖNK" sheetId="120" r:id="rId17"/>
    <sheet name="9.1.3. sz. mell ÖNK" sheetId="121" r:id="rId18"/>
    <sheet name="9.2. sz. mell HIV" sheetId="79" r:id="rId19"/>
    <sheet name="9.2.1. sz. mell HIV" sheetId="122" r:id="rId20"/>
    <sheet name="9.2.2. sz.  mell HIV" sheetId="123" r:id="rId21"/>
    <sheet name="9.2.3. sz. mell HIV" sheetId="124" r:id="rId22"/>
    <sheet name="9.3. sz. mell GAM" sheetId="105" r:id="rId23"/>
    <sheet name="9.3.1. sz. mell GAM" sheetId="125" r:id="rId24"/>
    <sheet name="9.3.2. sz. mell GAM" sheetId="126" r:id="rId25"/>
    <sheet name="9.3.3. sz. mell GAM" sheetId="127" r:id="rId26"/>
    <sheet name="9.4. sz. mell ILMKS" sheetId="129" r:id="rId27"/>
    <sheet name="9.4.1. sz. mell ILMKS" sheetId="130" r:id="rId28"/>
    <sheet name="9.4.2. sz. mell ILMKS" sheetId="131" r:id="rId29"/>
    <sheet name="9.4.3. sz. mell ILMKS" sheetId="132" r:id="rId30"/>
    <sheet name="9.5. sz. mell OVI" sheetId="133" r:id="rId31"/>
    <sheet name="9.5.1. sz. mell OVI" sheetId="134" r:id="rId32"/>
    <sheet name="9.5.2. sz. mell OVI" sheetId="135" r:id="rId33"/>
    <sheet name="9.5.3. sz. mell OVI" sheetId="136" r:id="rId34"/>
    <sheet name="9.6. sz. mell CSSK" sheetId="138" r:id="rId35"/>
    <sheet name="9.6.1. sz. mell CSSK" sheetId="139" r:id="rId36"/>
    <sheet name="9.6.2. sz. mell CSSK" sheetId="140" r:id="rId37"/>
    <sheet name="9.6.3. sz. mell CSSK" sheetId="141" r:id="rId38"/>
    <sheet name="10.sz.mell" sheetId="89" r:id="rId39"/>
    <sheet name="1. sz tájékoztató t." sheetId="87" r:id="rId40"/>
    <sheet name="2. sz tájékoztató t" sheetId="66" r:id="rId41"/>
    <sheet name="3. sz tájékoztató t." sheetId="88" r:id="rId42"/>
    <sheet name="4.sz tájékoztató t." sheetId="24" r:id="rId43"/>
    <sheet name="5.sz tájékoztató t." sheetId="2" r:id="rId44"/>
    <sheet name="6.sz tájékoztató t." sheetId="70" r:id="rId45"/>
    <sheet name="7. sz tájékoztató t." sheetId="137" r:id="rId46"/>
    <sheet name="Munka1" sheetId="94" r:id="rId47"/>
  </sheets>
  <definedNames>
    <definedName name="_xlnm.Print_Titles" localSheetId="14">'9.1. sz. mell ÖNK'!$1:$6</definedName>
    <definedName name="_xlnm.Print_Titles" localSheetId="15">'9.1.1. sz. mell ÖNK'!$1:$6</definedName>
    <definedName name="_xlnm.Print_Titles" localSheetId="16">'9.1.2. sz. mell ÖNK'!$1:$6</definedName>
    <definedName name="_xlnm.Print_Titles" localSheetId="17">'9.1.3. sz. mell ÖNK'!$1:$6</definedName>
    <definedName name="_xlnm.Print_Titles" localSheetId="18">'9.2. sz. mell HIV'!$1:$6</definedName>
    <definedName name="_xlnm.Print_Titles" localSheetId="19">'9.2.1. sz. mell HIV'!$1:$6</definedName>
    <definedName name="_xlnm.Print_Titles" localSheetId="20">'9.2.2. sz.  mell HIV'!$1:$6</definedName>
    <definedName name="_xlnm.Print_Titles" localSheetId="21">'9.2.3. sz. mell HIV'!$1:$6</definedName>
    <definedName name="_xlnm.Print_Titles" localSheetId="22">'9.3. sz. mell GAM'!$1:$6</definedName>
    <definedName name="_xlnm.Print_Titles" localSheetId="23">'9.3.1. sz. mell GAM'!$1:$6</definedName>
    <definedName name="_xlnm.Print_Titles" localSheetId="24">'9.3.2. sz. mell GAM'!$1:$6</definedName>
    <definedName name="_xlnm.Print_Titles" localSheetId="25">'9.3.3. sz. mell GAM'!$1:$6</definedName>
    <definedName name="_xlnm.Print_Titles" localSheetId="26">'9.4. sz. mell ILMKS'!$1:$6</definedName>
    <definedName name="_xlnm.Print_Titles" localSheetId="27">'9.4.1. sz. mell ILMKS'!$1:$6</definedName>
    <definedName name="_xlnm.Print_Titles" localSheetId="28">'9.4.2. sz. mell ILMKS'!$1:$6</definedName>
    <definedName name="_xlnm.Print_Titles" localSheetId="29">'9.4.3. sz. mell ILMKS'!$1:$6</definedName>
    <definedName name="_xlnm.Print_Titles" localSheetId="30">'9.5. sz. mell OVI'!$1:$6</definedName>
    <definedName name="_xlnm.Print_Titles" localSheetId="31">'9.5.1. sz. mell OVI'!$1:$6</definedName>
    <definedName name="_xlnm.Print_Titles" localSheetId="32">'9.5.2. sz. mell OVI'!$1:$6</definedName>
    <definedName name="_xlnm.Print_Titles" localSheetId="33">'9.5.3. sz. mell OVI'!$1:$6</definedName>
    <definedName name="_xlnm.Print_Titles" localSheetId="34">'9.6. sz. mell CSSK'!$1:$6</definedName>
    <definedName name="_xlnm.Print_Titles" localSheetId="35">'9.6.1. sz. mell CSSK'!$1:$6</definedName>
    <definedName name="_xlnm.Print_Titles" localSheetId="36">'9.6.2. sz. mell CSSK'!$1:$6</definedName>
    <definedName name="_xlnm.Print_Titles" localSheetId="37">'9.6.3. sz. mell CSSK'!$1:$6</definedName>
    <definedName name="_xlnm.Print_Area" localSheetId="39">'1. sz tájékoztató t.'!$A$1:$E$154</definedName>
    <definedName name="_xlnm.Print_Area" localSheetId="1">'1.1.sz.mell.'!$A$1:$C$159</definedName>
    <definedName name="_xlnm.Print_Area" localSheetId="2">'1.2.sz.mell.'!$A$1:$C$159</definedName>
    <definedName name="_xlnm.Print_Area" localSheetId="3">'1.3.sz.mell.'!$A$1:$C$159</definedName>
    <definedName name="_xlnm.Print_Area" localSheetId="4">'1.4.sz.mell.'!$A$1:$C$159</definedName>
    <definedName name="_xlnm.Print_Area" localSheetId="5">'2.1.sz.mell  '!$A$1:$F$32</definedName>
    <definedName name="_xlnm.Print_Area" localSheetId="45">'7. sz tájékoztató t.'!$A$1:$E$37</definedName>
    <definedName name="_xlnm.Print_Area" localSheetId="14">'9.1. sz. mell ÖNK'!$A$1:$C$159</definedName>
    <definedName name="_xlnm.Print_Area" localSheetId="15">'9.1.1. sz. mell ÖNK'!$A$1:$C$159</definedName>
  </definedNames>
  <calcPr calcId="162913"/>
</workbook>
</file>

<file path=xl/calcChain.xml><?xml version="1.0" encoding="utf-8"?>
<calcChain xmlns="http://schemas.openxmlformats.org/spreadsheetml/2006/main">
  <c r="B15" i="71" l="1"/>
  <c r="B17" i="71"/>
  <c r="B16" i="71"/>
  <c r="B7" i="71"/>
  <c r="C159" i="71"/>
  <c r="D159" i="71"/>
  <c r="B159" i="71"/>
  <c r="D177" i="71"/>
  <c r="C177" i="71"/>
  <c r="B177" i="71"/>
  <c r="E176" i="71"/>
  <c r="E175" i="71"/>
  <c r="E174" i="71"/>
  <c r="E173" i="71"/>
  <c r="E172" i="71"/>
  <c r="E171" i="71"/>
  <c r="E170" i="71"/>
  <c r="D167" i="71"/>
  <c r="C167" i="71"/>
  <c r="B167" i="71"/>
  <c r="E166" i="71"/>
  <c r="E165" i="71"/>
  <c r="E164" i="71"/>
  <c r="E163" i="71"/>
  <c r="E162" i="71"/>
  <c r="E161" i="71"/>
  <c r="E160" i="71"/>
  <c r="E167" i="71" s="1"/>
  <c r="D169" i="71"/>
  <c r="C169" i="71"/>
  <c r="B169" i="71"/>
  <c r="E177" i="71" l="1"/>
  <c r="D150" i="71" l="1"/>
  <c r="C150" i="71"/>
  <c r="B150" i="71"/>
  <c r="E149" i="71"/>
  <c r="E148" i="71"/>
  <c r="E147" i="71"/>
  <c r="E146" i="71"/>
  <c r="E145" i="71"/>
  <c r="E144" i="71"/>
  <c r="E143" i="71"/>
  <c r="D140" i="71"/>
  <c r="C140" i="71"/>
  <c r="B140" i="71"/>
  <c r="E139" i="71"/>
  <c r="E138" i="71"/>
  <c r="E137" i="71"/>
  <c r="E136" i="71"/>
  <c r="E135" i="71"/>
  <c r="E134" i="71"/>
  <c r="E133" i="71"/>
  <c r="D126" i="71"/>
  <c r="C126" i="71"/>
  <c r="B126" i="71"/>
  <c r="E125" i="71"/>
  <c r="E124" i="71"/>
  <c r="E123" i="71"/>
  <c r="E122" i="71"/>
  <c r="E121" i="71"/>
  <c r="E120" i="71"/>
  <c r="E119" i="71"/>
  <c r="D116" i="71"/>
  <c r="C116" i="71"/>
  <c r="B116" i="71"/>
  <c r="E115" i="71"/>
  <c r="E114" i="71"/>
  <c r="E113" i="71"/>
  <c r="E112" i="71"/>
  <c r="E111" i="71"/>
  <c r="E110" i="71"/>
  <c r="E109" i="71"/>
  <c r="D99" i="71"/>
  <c r="C99" i="71"/>
  <c r="B99" i="71"/>
  <c r="E98" i="71"/>
  <c r="E97" i="71"/>
  <c r="E96" i="71"/>
  <c r="E95" i="71"/>
  <c r="E94" i="71"/>
  <c r="E93" i="71"/>
  <c r="E92" i="71"/>
  <c r="D89" i="71"/>
  <c r="C89" i="71"/>
  <c r="B89" i="71"/>
  <c r="E88" i="71"/>
  <c r="E87" i="71"/>
  <c r="E86" i="71"/>
  <c r="E85" i="71"/>
  <c r="E84" i="71"/>
  <c r="E83" i="71"/>
  <c r="E82" i="71"/>
  <c r="D75" i="71"/>
  <c r="C75" i="71"/>
  <c r="B75" i="71"/>
  <c r="E74" i="71"/>
  <c r="E73" i="71"/>
  <c r="E72" i="71"/>
  <c r="E71" i="71"/>
  <c r="E70" i="71"/>
  <c r="E69" i="71"/>
  <c r="E68" i="71"/>
  <c r="D65" i="71"/>
  <c r="C65" i="71"/>
  <c r="B65" i="71"/>
  <c r="E64" i="71"/>
  <c r="E63" i="71"/>
  <c r="E62" i="71"/>
  <c r="E61" i="71"/>
  <c r="E60" i="71"/>
  <c r="E59" i="71"/>
  <c r="E58" i="71"/>
  <c r="E65" i="71" l="1"/>
  <c r="E75" i="71"/>
  <c r="E89" i="71"/>
  <c r="E99" i="71"/>
  <c r="E116" i="71"/>
  <c r="E126" i="71"/>
  <c r="E140" i="71"/>
  <c r="E150" i="71"/>
  <c r="E7" i="64" l="1"/>
  <c r="B7" i="64"/>
  <c r="E42" i="63"/>
  <c r="B42" i="63"/>
  <c r="E45" i="63"/>
  <c r="B45" i="63"/>
  <c r="C20" i="73"/>
  <c r="C95" i="119"/>
  <c r="C98" i="119"/>
  <c r="C36" i="119"/>
  <c r="C27" i="119"/>
  <c r="C20" i="119"/>
  <c r="C118" i="119"/>
  <c r="C116" i="119"/>
  <c r="C96" i="119" l="1"/>
  <c r="C94" i="119"/>
  <c r="C48" i="134"/>
  <c r="C46" i="134"/>
  <c r="C14" i="125" l="1"/>
  <c r="C13" i="125"/>
  <c r="C48" i="130" l="1"/>
  <c r="C46" i="130"/>
  <c r="C53" i="125"/>
  <c r="C48" i="125"/>
  <c r="C97" i="3" l="1"/>
  <c r="C10" i="130"/>
  <c r="C113" i="119"/>
  <c r="C13" i="119" l="1"/>
  <c r="C51" i="119" l="1"/>
  <c r="C43" i="119"/>
  <c r="E37" i="63" l="1"/>
  <c r="B37" i="63"/>
  <c r="B6" i="63" s="1"/>
  <c r="C52" i="125"/>
  <c r="C48" i="131"/>
  <c r="C47" i="130" l="1"/>
  <c r="C23" i="130"/>
  <c r="C11" i="130"/>
  <c r="C9" i="131"/>
  <c r="C9" i="130"/>
  <c r="C47" i="139" l="1"/>
  <c r="C46" i="139"/>
  <c r="C9" i="119"/>
  <c r="C10" i="119" l="1"/>
  <c r="C47" i="134" l="1"/>
  <c r="C112" i="119" l="1"/>
  <c r="E39" i="63" l="1"/>
  <c r="B39" i="63"/>
  <c r="B46" i="63" s="1"/>
  <c r="F45" i="63"/>
  <c r="E6" i="63"/>
  <c r="E46" i="63" s="1"/>
  <c r="C21" i="119"/>
  <c r="C28" i="119" l="1"/>
  <c r="C48" i="139" l="1"/>
  <c r="C49" i="122"/>
  <c r="C49" i="124"/>
  <c r="C39" i="129" l="1"/>
  <c r="C76" i="119"/>
  <c r="F21" i="119"/>
  <c r="C1" i="141"/>
  <c r="C1" i="140"/>
  <c r="C1" i="139"/>
  <c r="C1" i="138"/>
  <c r="C1" i="136"/>
  <c r="C1" i="135"/>
  <c r="C1" i="134"/>
  <c r="C1" i="133"/>
  <c r="C1" i="132"/>
  <c r="C1" i="131"/>
  <c r="C1" i="130"/>
  <c r="C1" i="129"/>
  <c r="C1" i="127"/>
  <c r="C1" i="126"/>
  <c r="C1" i="125"/>
  <c r="C1" i="105"/>
  <c r="C1" i="124"/>
  <c r="C1" i="123"/>
  <c r="C1" i="122"/>
  <c r="C1" i="79"/>
  <c r="C1" i="121"/>
  <c r="C1" i="120"/>
  <c r="C1" i="119"/>
  <c r="C1" i="3"/>
  <c r="F1" i="61"/>
  <c r="F1" i="73"/>
  <c r="A20" i="89" l="1"/>
  <c r="J17" i="66"/>
  <c r="J15" i="66"/>
  <c r="J13" i="66"/>
  <c r="J11" i="66"/>
  <c r="I9" i="66"/>
  <c r="H9" i="66"/>
  <c r="G9" i="66"/>
  <c r="F9" i="66"/>
  <c r="C38" i="129" l="1"/>
  <c r="C32" i="119" l="1"/>
  <c r="C11" i="119" l="1"/>
  <c r="C8" i="119" l="1"/>
  <c r="E16" i="66" l="1"/>
  <c r="E14" i="66"/>
  <c r="E10" i="66"/>
  <c r="E9" i="66" s="1"/>
  <c r="E52" i="87"/>
  <c r="C29" i="137"/>
  <c r="E3" i="137"/>
  <c r="D3" i="137"/>
  <c r="C3" i="137"/>
  <c r="F43" i="63"/>
  <c r="F42" i="63"/>
  <c r="F41" i="63"/>
  <c r="E24" i="119"/>
  <c r="C52" i="133"/>
  <c r="E19" i="119" l="1"/>
  <c r="E23" i="119" s="1"/>
  <c r="D3" i="87" l="1"/>
  <c r="C23" i="129" l="1"/>
  <c r="C117" i="116" l="1"/>
  <c r="C115" i="116"/>
  <c r="C97" i="116"/>
  <c r="C49" i="138"/>
  <c r="C50" i="138"/>
  <c r="C47" i="138"/>
  <c r="C48" i="138"/>
  <c r="C46" i="138"/>
  <c r="C51" i="141"/>
  <c r="C45" i="141"/>
  <c r="C57" i="141" s="1"/>
  <c r="C37" i="141"/>
  <c r="C30" i="141"/>
  <c r="C26" i="141"/>
  <c r="C20" i="141"/>
  <c r="C8" i="141"/>
  <c r="C51" i="140"/>
  <c r="C45" i="140"/>
  <c r="C37" i="140"/>
  <c r="C30" i="140"/>
  <c r="C26" i="140"/>
  <c r="C20" i="140"/>
  <c r="C8" i="140"/>
  <c r="C51" i="139"/>
  <c r="C45" i="139"/>
  <c r="C30" i="139"/>
  <c r="C26" i="139"/>
  <c r="C20" i="139"/>
  <c r="C8" i="139"/>
  <c r="C51" i="138"/>
  <c r="C38" i="138"/>
  <c r="C30" i="138"/>
  <c r="C26" i="138"/>
  <c r="C20" i="138"/>
  <c r="C8" i="138"/>
  <c r="C3" i="1"/>
  <c r="C24" i="73"/>
  <c r="C36" i="116"/>
  <c r="D29" i="137"/>
  <c r="E29" i="137"/>
  <c r="E33" i="137" s="1"/>
  <c r="C29" i="117"/>
  <c r="C26" i="117" s="1"/>
  <c r="E114" i="87"/>
  <c r="B35" i="2"/>
  <c r="B23" i="2"/>
  <c r="B17" i="2"/>
  <c r="B6" i="2"/>
  <c r="B15" i="2" s="1"/>
  <c r="C95" i="118"/>
  <c r="C96" i="118"/>
  <c r="C94" i="118"/>
  <c r="C110" i="117"/>
  <c r="C95" i="117"/>
  <c r="C96" i="117"/>
  <c r="C97" i="117"/>
  <c r="C98" i="117"/>
  <c r="C94" i="117"/>
  <c r="C36" i="117"/>
  <c r="C37" i="117"/>
  <c r="C38" i="117"/>
  <c r="C39" i="117"/>
  <c r="C40" i="117"/>
  <c r="C35" i="117"/>
  <c r="C144" i="116"/>
  <c r="C143" i="116"/>
  <c r="C142" i="116"/>
  <c r="C141" i="116"/>
  <c r="C135" i="116"/>
  <c r="C136" i="116"/>
  <c r="C137" i="116"/>
  <c r="C138" i="116"/>
  <c r="C139" i="116"/>
  <c r="C134" i="116"/>
  <c r="C131" i="116"/>
  <c r="C132" i="116"/>
  <c r="C130" i="116"/>
  <c r="C100" i="116"/>
  <c r="C101" i="116"/>
  <c r="C102" i="116"/>
  <c r="C103" i="116"/>
  <c r="C104" i="116"/>
  <c r="C105" i="116"/>
  <c r="C106" i="116"/>
  <c r="C107" i="116"/>
  <c r="C108" i="116"/>
  <c r="C109" i="116"/>
  <c r="C110" i="116"/>
  <c r="C111" i="116"/>
  <c r="C112" i="116"/>
  <c r="C113" i="116"/>
  <c r="C99" i="116"/>
  <c r="C81" i="116"/>
  <c r="C82" i="116"/>
  <c r="C83" i="116"/>
  <c r="C80" i="116"/>
  <c r="C77" i="116"/>
  <c r="C78" i="116"/>
  <c r="C76" i="116"/>
  <c r="C74" i="116"/>
  <c r="C73" i="116"/>
  <c r="C69" i="116"/>
  <c r="C70" i="116"/>
  <c r="C71" i="116"/>
  <c r="C68" i="116"/>
  <c r="C65" i="116"/>
  <c r="C66" i="116"/>
  <c r="C64" i="116"/>
  <c r="C59" i="116"/>
  <c r="C60" i="116"/>
  <c r="C61" i="116"/>
  <c r="C58" i="116"/>
  <c r="C54" i="116"/>
  <c r="C55" i="116"/>
  <c r="C56" i="116"/>
  <c r="C53" i="116"/>
  <c r="C48" i="116"/>
  <c r="C49" i="116"/>
  <c r="C47" i="116"/>
  <c r="C37" i="116"/>
  <c r="C38" i="116"/>
  <c r="C39" i="116"/>
  <c r="C41" i="116"/>
  <c r="C42" i="116"/>
  <c r="C43" i="116"/>
  <c r="C44" i="116"/>
  <c r="C45" i="116"/>
  <c r="C35" i="116"/>
  <c r="C28" i="116"/>
  <c r="C29" i="116"/>
  <c r="C30" i="116"/>
  <c r="C31" i="116"/>
  <c r="C32" i="116"/>
  <c r="C33" i="116"/>
  <c r="C27" i="116"/>
  <c r="C21" i="116"/>
  <c r="C22" i="116"/>
  <c r="C23" i="116"/>
  <c r="C24" i="116"/>
  <c r="C25" i="116"/>
  <c r="C20" i="116"/>
  <c r="C14" i="116"/>
  <c r="C15" i="116"/>
  <c r="C16" i="116"/>
  <c r="C17" i="116"/>
  <c r="C18" i="116"/>
  <c r="C13" i="116"/>
  <c r="C7" i="116"/>
  <c r="C8" i="116"/>
  <c r="C9" i="116"/>
  <c r="C11" i="116"/>
  <c r="C6" i="116"/>
  <c r="H12" i="73"/>
  <c r="C40" i="116"/>
  <c r="C37" i="119"/>
  <c r="C120" i="119"/>
  <c r="C119" i="116"/>
  <c r="C95" i="116"/>
  <c r="C94" i="116"/>
  <c r="C31" i="3"/>
  <c r="C28" i="1" s="1"/>
  <c r="C32" i="3"/>
  <c r="C29" i="1" s="1"/>
  <c r="C33" i="3"/>
  <c r="C30" i="1" s="1"/>
  <c r="C34" i="3"/>
  <c r="C31" i="1" s="1"/>
  <c r="C35" i="3"/>
  <c r="C32" i="1" s="1"/>
  <c r="C96" i="116"/>
  <c r="C45" i="125"/>
  <c r="C84" i="3"/>
  <c r="C85" i="3"/>
  <c r="C86" i="3"/>
  <c r="C83" i="3"/>
  <c r="C80" i="3"/>
  <c r="C81" i="3"/>
  <c r="C79" i="3"/>
  <c r="C77" i="3"/>
  <c r="C76" i="3"/>
  <c r="C72" i="3"/>
  <c r="C73" i="3"/>
  <c r="C74" i="3"/>
  <c r="C71" i="3"/>
  <c r="C68" i="3"/>
  <c r="C69" i="3"/>
  <c r="C67" i="3"/>
  <c r="C62" i="3"/>
  <c r="C59" i="1" s="1"/>
  <c r="C63" i="3"/>
  <c r="C60" i="1" s="1"/>
  <c r="C64" i="3"/>
  <c r="C61" i="1" s="1"/>
  <c r="C61" i="3"/>
  <c r="C57" i="3"/>
  <c r="C54" i="1" s="1"/>
  <c r="C58" i="3"/>
  <c r="C55" i="1" s="1"/>
  <c r="C59" i="3"/>
  <c r="C56" i="1" s="1"/>
  <c r="C56" i="3"/>
  <c r="C53" i="1" s="1"/>
  <c r="C51" i="3"/>
  <c r="C48" i="1" s="1"/>
  <c r="C52" i="3"/>
  <c r="C53" i="3"/>
  <c r="C50" i="1" s="1"/>
  <c r="C54" i="3"/>
  <c r="C51" i="1" s="1"/>
  <c r="C50" i="3"/>
  <c r="C47" i="1" s="1"/>
  <c r="C39" i="3"/>
  <c r="C40" i="3"/>
  <c r="C41" i="3"/>
  <c r="C42" i="3"/>
  <c r="C43" i="3"/>
  <c r="C44" i="3"/>
  <c r="C45" i="3"/>
  <c r="C46" i="3"/>
  <c r="C47" i="3"/>
  <c r="C48" i="3"/>
  <c r="C38" i="3"/>
  <c r="C36" i="3"/>
  <c r="C33" i="1" s="1"/>
  <c r="C30" i="3"/>
  <c r="C24" i="3"/>
  <c r="C21" i="1" s="1"/>
  <c r="C25" i="3"/>
  <c r="C22" i="1" s="1"/>
  <c r="C26" i="3"/>
  <c r="C23" i="1" s="1"/>
  <c r="C27" i="3"/>
  <c r="C24" i="1" s="1"/>
  <c r="C28" i="3"/>
  <c r="C25" i="1" s="1"/>
  <c r="C23" i="3"/>
  <c r="C17" i="3"/>
  <c r="C14" i="1" s="1"/>
  <c r="C18" i="3"/>
  <c r="C15" i="1" s="1"/>
  <c r="C19" i="3"/>
  <c r="C16" i="1" s="1"/>
  <c r="C20" i="3"/>
  <c r="C17" i="1" s="1"/>
  <c r="C21" i="3"/>
  <c r="C18" i="1" s="1"/>
  <c r="C16" i="3"/>
  <c r="C13" i="1" s="1"/>
  <c r="C99" i="119"/>
  <c r="C93" i="119" s="1"/>
  <c r="J12" i="66"/>
  <c r="J14" i="66"/>
  <c r="D9" i="88"/>
  <c r="D33" i="88" s="1"/>
  <c r="C159" i="3"/>
  <c r="C158" i="3"/>
  <c r="C153" i="3"/>
  <c r="C154" i="3"/>
  <c r="C149" i="3"/>
  <c r="C150" i="3"/>
  <c r="C151" i="3"/>
  <c r="C152" i="3"/>
  <c r="C148" i="3"/>
  <c r="C143" i="3"/>
  <c r="C142" i="1" s="1"/>
  <c r="C145" i="3"/>
  <c r="C143" i="1" s="1"/>
  <c r="C146" i="3"/>
  <c r="C144" i="1" s="1"/>
  <c r="C142" i="3"/>
  <c r="C136" i="3"/>
  <c r="C137" i="3"/>
  <c r="C138" i="3"/>
  <c r="C139" i="3"/>
  <c r="C140" i="3"/>
  <c r="C135" i="3"/>
  <c r="C132" i="3"/>
  <c r="C133" i="3"/>
  <c r="C131" i="3"/>
  <c r="C130" i="1" s="1"/>
  <c r="C117" i="3"/>
  <c r="C118" i="3"/>
  <c r="O22" i="24" s="1"/>
  <c r="C119" i="3"/>
  <c r="C120" i="3"/>
  <c r="O23" i="24" s="1"/>
  <c r="C121" i="3"/>
  <c r="C122" i="3"/>
  <c r="C123" i="3"/>
  <c r="C124" i="3"/>
  <c r="C125" i="3"/>
  <c r="C126" i="3"/>
  <c r="C127" i="3"/>
  <c r="C128" i="3"/>
  <c r="C127" i="1" s="1"/>
  <c r="C116" i="3"/>
  <c r="O21" i="24" s="1"/>
  <c r="C96" i="3"/>
  <c r="O18" i="24" s="1"/>
  <c r="C98" i="3"/>
  <c r="O19" i="24" s="1"/>
  <c r="C100" i="3"/>
  <c r="C99" i="1" s="1"/>
  <c r="C101" i="3"/>
  <c r="C100" i="1" s="1"/>
  <c r="C102" i="3"/>
  <c r="C101" i="1" s="1"/>
  <c r="C103" i="3"/>
  <c r="C102" i="1" s="1"/>
  <c r="C104" i="3"/>
  <c r="C103" i="1" s="1"/>
  <c r="C105" i="3"/>
  <c r="C104" i="1" s="1"/>
  <c r="C106" i="3"/>
  <c r="C105" i="1" s="1"/>
  <c r="C107" i="3"/>
  <c r="C106" i="1" s="1"/>
  <c r="C108" i="3"/>
  <c r="C107" i="1" s="1"/>
  <c r="C109" i="3"/>
  <c r="C108" i="1" s="1"/>
  <c r="C110" i="3"/>
  <c r="C109" i="1" s="1"/>
  <c r="C111" i="3"/>
  <c r="C110" i="1" s="1"/>
  <c r="C112" i="3"/>
  <c r="C111" i="1" s="1"/>
  <c r="E11" i="73" s="1"/>
  <c r="C113" i="3"/>
  <c r="C112" i="1" s="1"/>
  <c r="C114" i="3"/>
  <c r="C113" i="1" s="1"/>
  <c r="C94" i="3"/>
  <c r="O16" i="24" s="1"/>
  <c r="C48" i="129"/>
  <c r="C47" i="133"/>
  <c r="C48" i="133"/>
  <c r="C49" i="133"/>
  <c r="C50" i="133"/>
  <c r="C46" i="133"/>
  <c r="C10" i="129"/>
  <c r="C11" i="129"/>
  <c r="C12" i="129"/>
  <c r="C13" i="129"/>
  <c r="C14" i="129"/>
  <c r="C15" i="129"/>
  <c r="C16" i="129"/>
  <c r="C17" i="129"/>
  <c r="C18" i="129"/>
  <c r="C19" i="129"/>
  <c r="C9" i="129"/>
  <c r="C53" i="129"/>
  <c r="C54" i="129"/>
  <c r="C55" i="129"/>
  <c r="C52" i="129"/>
  <c r="C47" i="129"/>
  <c r="C49" i="129"/>
  <c r="C50" i="129"/>
  <c r="C46" i="129"/>
  <c r="C60" i="105"/>
  <c r="C59" i="105"/>
  <c r="C56" i="105"/>
  <c r="C53" i="105"/>
  <c r="C54" i="105"/>
  <c r="C55" i="105"/>
  <c r="C52" i="105"/>
  <c r="C47" i="105"/>
  <c r="C48" i="105"/>
  <c r="C49" i="105"/>
  <c r="C50" i="105"/>
  <c r="C46" i="105"/>
  <c r="C39" i="105"/>
  <c r="C38" i="105"/>
  <c r="C35" i="105"/>
  <c r="C34" i="105"/>
  <c r="C32" i="105"/>
  <c r="C33" i="105"/>
  <c r="C31" i="105"/>
  <c r="C28" i="105"/>
  <c r="C29" i="105"/>
  <c r="C27" i="105"/>
  <c r="C25" i="105"/>
  <c r="C22" i="105"/>
  <c r="C23" i="105"/>
  <c r="C24" i="105"/>
  <c r="C21" i="105"/>
  <c r="C10" i="105"/>
  <c r="C11" i="105"/>
  <c r="C12" i="105"/>
  <c r="C13" i="105"/>
  <c r="C14" i="105"/>
  <c r="C15" i="105"/>
  <c r="C16" i="105"/>
  <c r="C17" i="105"/>
  <c r="C18" i="105"/>
  <c r="C19" i="105"/>
  <c r="C9" i="105"/>
  <c r="C40" i="79"/>
  <c r="C74" i="1" s="1"/>
  <c r="C39" i="79"/>
  <c r="C36" i="79"/>
  <c r="C35" i="79"/>
  <c r="C33" i="79"/>
  <c r="C34" i="79"/>
  <c r="C32" i="79"/>
  <c r="C30" i="79"/>
  <c r="C28" i="79"/>
  <c r="C29" i="79"/>
  <c r="C27" i="79"/>
  <c r="C25" i="79"/>
  <c r="C22" i="79"/>
  <c r="C23" i="79"/>
  <c r="C24" i="79"/>
  <c r="C21" i="79"/>
  <c r="C10" i="79"/>
  <c r="C11" i="79"/>
  <c r="C12" i="79"/>
  <c r="C13" i="79"/>
  <c r="C14" i="79"/>
  <c r="C15" i="79"/>
  <c r="C16" i="79"/>
  <c r="C17" i="79"/>
  <c r="C18" i="79"/>
  <c r="C19" i="79"/>
  <c r="C9" i="79"/>
  <c r="C60" i="79"/>
  <c r="C54" i="79"/>
  <c r="C55" i="79"/>
  <c r="C56" i="79"/>
  <c r="C53" i="79"/>
  <c r="C48" i="79"/>
  <c r="C49" i="79"/>
  <c r="C50" i="79"/>
  <c r="C51" i="79"/>
  <c r="C47" i="79"/>
  <c r="D33" i="137"/>
  <c r="C33" i="137"/>
  <c r="E9" i="137"/>
  <c r="D9" i="137"/>
  <c r="E20" i="137"/>
  <c r="E22" i="137" s="1"/>
  <c r="E34" i="137" s="1"/>
  <c r="D20" i="137"/>
  <c r="D22" i="137" s="1"/>
  <c r="D34" i="137" s="1"/>
  <c r="C22" i="137"/>
  <c r="E26" i="137"/>
  <c r="D26" i="137"/>
  <c r="C26" i="137"/>
  <c r="C10" i="3"/>
  <c r="C7" i="1" s="1"/>
  <c r="C11" i="3"/>
  <c r="C8" i="1" s="1"/>
  <c r="C12" i="3"/>
  <c r="C9" i="1" s="1"/>
  <c r="C14" i="3"/>
  <c r="C11" i="1" s="1"/>
  <c r="C9" i="3"/>
  <c r="C6" i="1" s="1"/>
  <c r="C38" i="133"/>
  <c r="A1" i="78"/>
  <c r="C51" i="136"/>
  <c r="C45" i="136"/>
  <c r="C37" i="136"/>
  <c r="C30" i="136"/>
  <c r="C26" i="136"/>
  <c r="C20" i="136"/>
  <c r="C8" i="136"/>
  <c r="C51" i="135"/>
  <c r="C45" i="135"/>
  <c r="C37" i="135"/>
  <c r="C30" i="135"/>
  <c r="C26" i="135"/>
  <c r="C20" i="135"/>
  <c r="C8" i="135"/>
  <c r="C51" i="134"/>
  <c r="C45" i="134"/>
  <c r="C30" i="134"/>
  <c r="C26" i="134"/>
  <c r="C20" i="134"/>
  <c r="C8" i="134"/>
  <c r="C51" i="133"/>
  <c r="C30" i="133"/>
  <c r="C26" i="133"/>
  <c r="C20" i="133"/>
  <c r="C8" i="133"/>
  <c r="C51" i="132"/>
  <c r="C45" i="132"/>
  <c r="C37" i="132"/>
  <c r="C30" i="132"/>
  <c r="C26" i="132"/>
  <c r="C20" i="132"/>
  <c r="C8" i="132"/>
  <c r="C51" i="131"/>
  <c r="C45" i="131"/>
  <c r="C37" i="131"/>
  <c r="C30" i="131"/>
  <c r="C26" i="131"/>
  <c r="C20" i="131"/>
  <c r="C8" i="131"/>
  <c r="C51" i="130"/>
  <c r="C45" i="130"/>
  <c r="C30" i="130"/>
  <c r="C26" i="130"/>
  <c r="C20" i="130"/>
  <c r="C8" i="130"/>
  <c r="C30" i="129"/>
  <c r="C26" i="129"/>
  <c r="C20" i="129"/>
  <c r="C29" i="121"/>
  <c r="C29" i="120"/>
  <c r="C29" i="119"/>
  <c r="C26" i="118"/>
  <c r="F3" i="64"/>
  <c r="E3" i="63"/>
  <c r="E3" i="64" s="1"/>
  <c r="C146" i="121"/>
  <c r="C140" i="121"/>
  <c r="C146" i="120"/>
  <c r="C140" i="120"/>
  <c r="C147" i="119"/>
  <c r="C51" i="127"/>
  <c r="C45" i="127"/>
  <c r="C57" i="127" s="1"/>
  <c r="C51" i="126"/>
  <c r="C45" i="126"/>
  <c r="C51" i="125"/>
  <c r="C57" i="125" s="1"/>
  <c r="C52" i="124"/>
  <c r="C46" i="124"/>
  <c r="C52" i="123"/>
  <c r="C46" i="123"/>
  <c r="C52" i="122"/>
  <c r="C46" i="122"/>
  <c r="D93" i="87"/>
  <c r="E93" i="87"/>
  <c r="E128" i="87" s="1"/>
  <c r="D114" i="87"/>
  <c r="D129" i="87"/>
  <c r="E129" i="87"/>
  <c r="D133" i="87"/>
  <c r="E133" i="87"/>
  <c r="D140" i="87"/>
  <c r="E140" i="87"/>
  <c r="D145" i="87"/>
  <c r="D153" i="87" s="1"/>
  <c r="E145" i="87"/>
  <c r="C145" i="87"/>
  <c r="C140" i="87"/>
  <c r="C133" i="87"/>
  <c r="C129" i="87"/>
  <c r="C114" i="87"/>
  <c r="C93" i="87"/>
  <c r="D62" i="87"/>
  <c r="E62" i="87"/>
  <c r="D63" i="87"/>
  <c r="E63" i="87"/>
  <c r="D67" i="87"/>
  <c r="E67" i="87"/>
  <c r="D72" i="87"/>
  <c r="E72" i="87"/>
  <c r="D75" i="87"/>
  <c r="E75" i="87"/>
  <c r="D79" i="87"/>
  <c r="E79" i="87"/>
  <c r="C79" i="87"/>
  <c r="C75" i="87"/>
  <c r="C72" i="87"/>
  <c r="C67" i="87"/>
  <c r="C63" i="87"/>
  <c r="C62" i="87"/>
  <c r="C37" i="127"/>
  <c r="C30" i="127"/>
  <c r="C26" i="127"/>
  <c r="C20" i="127"/>
  <c r="C8" i="127"/>
  <c r="C30" i="126"/>
  <c r="C26" i="126"/>
  <c r="C20" i="126"/>
  <c r="C8" i="126"/>
  <c r="C30" i="125"/>
  <c r="C26" i="125"/>
  <c r="C20" i="125"/>
  <c r="C8" i="125"/>
  <c r="C31" i="124"/>
  <c r="C26" i="124"/>
  <c r="C20" i="124"/>
  <c r="C8" i="124"/>
  <c r="C38" i="123"/>
  <c r="C31" i="123"/>
  <c r="C26" i="123"/>
  <c r="C20" i="123"/>
  <c r="C8" i="123"/>
  <c r="C31" i="122"/>
  <c r="C26" i="122"/>
  <c r="C20" i="122"/>
  <c r="C8" i="122"/>
  <c r="C133" i="121"/>
  <c r="C129" i="121"/>
  <c r="C114" i="121"/>
  <c r="C93" i="121"/>
  <c r="C128" i="121" s="1"/>
  <c r="C82" i="121"/>
  <c r="C78" i="121"/>
  <c r="C75" i="121"/>
  <c r="C70" i="121"/>
  <c r="C66" i="121"/>
  <c r="C60" i="121"/>
  <c r="C55" i="121"/>
  <c r="C49" i="121"/>
  <c r="C37" i="121"/>
  <c r="C22" i="121"/>
  <c r="C15" i="121"/>
  <c r="C8" i="121"/>
  <c r="C133" i="120"/>
  <c r="C129" i="120"/>
  <c r="C114" i="120"/>
  <c r="C93" i="120"/>
  <c r="C82" i="120"/>
  <c r="C78" i="120"/>
  <c r="C75" i="120"/>
  <c r="C70" i="120"/>
  <c r="C66" i="120"/>
  <c r="C60" i="120"/>
  <c r="C55" i="120"/>
  <c r="C49" i="120"/>
  <c r="C37" i="120"/>
  <c r="C22" i="120"/>
  <c r="C15" i="120"/>
  <c r="C8" i="120"/>
  <c r="C134" i="119"/>
  <c r="C130" i="119"/>
  <c r="C115" i="119"/>
  <c r="C82" i="119"/>
  <c r="C78" i="119"/>
  <c r="C75" i="119"/>
  <c r="C70" i="119"/>
  <c r="C66" i="119"/>
  <c r="C60" i="119"/>
  <c r="C55" i="119"/>
  <c r="C49" i="119"/>
  <c r="C22" i="119"/>
  <c r="C15" i="119"/>
  <c r="C4" i="73"/>
  <c r="E4" i="61" s="1"/>
  <c r="C145" i="118"/>
  <c r="C140" i="118"/>
  <c r="C133" i="118"/>
  <c r="C129" i="118"/>
  <c r="C114" i="118"/>
  <c r="C79" i="118"/>
  <c r="C75" i="118"/>
  <c r="C72" i="118"/>
  <c r="C67" i="118"/>
  <c r="C63" i="118"/>
  <c r="C57" i="118"/>
  <c r="C52" i="118"/>
  <c r="C46" i="118"/>
  <c r="C34" i="118"/>
  <c r="C19" i="118"/>
  <c r="C12" i="118"/>
  <c r="C5" i="118"/>
  <c r="C3" i="118"/>
  <c r="C91" i="118" s="1"/>
  <c r="C145" i="117"/>
  <c r="C140" i="117"/>
  <c r="C133" i="117"/>
  <c r="C129" i="117"/>
  <c r="C114" i="117"/>
  <c r="C79" i="117"/>
  <c r="C75" i="117"/>
  <c r="C72" i="117"/>
  <c r="C67" i="117"/>
  <c r="C63" i="117"/>
  <c r="C57" i="117"/>
  <c r="C52" i="117"/>
  <c r="C46" i="117"/>
  <c r="C19" i="117"/>
  <c r="C12" i="117"/>
  <c r="C5" i="117"/>
  <c r="C3" i="117"/>
  <c r="C91" i="117" s="1"/>
  <c r="C3" i="116"/>
  <c r="C91" i="116" s="1"/>
  <c r="C145" i="116"/>
  <c r="C79" i="116"/>
  <c r="C63" i="116"/>
  <c r="C57" i="116"/>
  <c r="C52" i="116"/>
  <c r="C19" i="116"/>
  <c r="C26" i="79"/>
  <c r="E29" i="73"/>
  <c r="C145" i="1"/>
  <c r="C133" i="1"/>
  <c r="A1" i="70"/>
  <c r="B3" i="2"/>
  <c r="A1" i="2"/>
  <c r="A1" i="24"/>
  <c r="I4" i="66"/>
  <c r="H4" i="66"/>
  <c r="G4" i="66"/>
  <c r="F4" i="66"/>
  <c r="E3" i="66"/>
  <c r="C3" i="87"/>
  <c r="C91" i="87" s="1"/>
  <c r="D91" i="87"/>
  <c r="D4" i="71"/>
  <c r="C4" i="71"/>
  <c r="B4" i="71"/>
  <c r="F3" i="63"/>
  <c r="D3" i="63"/>
  <c r="D3" i="64" s="1"/>
  <c r="C4" i="62"/>
  <c r="D4" i="62" s="1"/>
  <c r="E4" i="62" s="1"/>
  <c r="A12" i="75"/>
  <c r="A11" i="76" s="1"/>
  <c r="A4" i="76"/>
  <c r="I25" i="66"/>
  <c r="H25" i="66"/>
  <c r="G25" i="66"/>
  <c r="F25" i="66"/>
  <c r="E25" i="66"/>
  <c r="I23" i="66"/>
  <c r="H23" i="66"/>
  <c r="G23" i="66"/>
  <c r="F23" i="66"/>
  <c r="E23" i="66"/>
  <c r="I21" i="66"/>
  <c r="H21" i="66"/>
  <c r="G21" i="66"/>
  <c r="F21" i="66"/>
  <c r="E21" i="66"/>
  <c r="I6" i="66"/>
  <c r="H6" i="66"/>
  <c r="G6" i="66"/>
  <c r="F6" i="66"/>
  <c r="E6" i="66"/>
  <c r="C78" i="3"/>
  <c r="C79" i="1"/>
  <c r="C75" i="1"/>
  <c r="C67" i="1"/>
  <c r="E16" i="89"/>
  <c r="F16" i="89"/>
  <c r="D16" i="89"/>
  <c r="C16" i="89"/>
  <c r="G15" i="89"/>
  <c r="G14" i="89"/>
  <c r="G13" i="89"/>
  <c r="G12" i="89"/>
  <c r="G11" i="89"/>
  <c r="G10" i="89"/>
  <c r="C8" i="78"/>
  <c r="C11" i="77"/>
  <c r="C11" i="62"/>
  <c r="D11" i="62"/>
  <c r="E11" i="62"/>
  <c r="F8" i="62"/>
  <c r="F9" i="62"/>
  <c r="F10" i="62"/>
  <c r="F7" i="62"/>
  <c r="F6" i="62"/>
  <c r="J26" i="66"/>
  <c r="B35" i="71"/>
  <c r="E28" i="71"/>
  <c r="E30" i="71"/>
  <c r="E31" i="71"/>
  <c r="E32" i="71"/>
  <c r="E33" i="71"/>
  <c r="E34" i="71"/>
  <c r="D35" i="71"/>
  <c r="C35" i="71"/>
  <c r="E5" i="71"/>
  <c r="E7" i="71"/>
  <c r="E8" i="71"/>
  <c r="E9" i="71"/>
  <c r="E10" i="71"/>
  <c r="E11" i="71"/>
  <c r="D12" i="71"/>
  <c r="C12" i="71"/>
  <c r="B12" i="71"/>
  <c r="E6" i="71"/>
  <c r="E15" i="71"/>
  <c r="E16" i="71"/>
  <c r="E17" i="71"/>
  <c r="E18" i="71"/>
  <c r="E19" i="71"/>
  <c r="E20" i="71"/>
  <c r="E21" i="71"/>
  <c r="B22" i="71"/>
  <c r="C22" i="71"/>
  <c r="D22" i="71"/>
  <c r="E29" i="71"/>
  <c r="E38" i="71"/>
  <c r="E39" i="71"/>
  <c r="E40" i="71"/>
  <c r="E41" i="71"/>
  <c r="E42" i="71"/>
  <c r="E43" i="71"/>
  <c r="E44" i="71"/>
  <c r="B45" i="71"/>
  <c r="C45" i="71"/>
  <c r="D45" i="71"/>
  <c r="D38" i="70"/>
  <c r="J7" i="66"/>
  <c r="J8" i="66"/>
  <c r="J10" i="66"/>
  <c r="J16" i="66"/>
  <c r="J22" i="66"/>
  <c r="J24" i="66"/>
  <c r="F5" i="64"/>
  <c r="F6" i="64"/>
  <c r="F7" i="64"/>
  <c r="F8" i="64"/>
  <c r="F9" i="64"/>
  <c r="F10" i="64"/>
  <c r="F11" i="64"/>
  <c r="B12" i="64"/>
  <c r="D12" i="64"/>
  <c r="E12" i="64"/>
  <c r="F5" i="63"/>
  <c r="F6" i="63"/>
  <c r="F38" i="63"/>
  <c r="F39" i="63"/>
  <c r="F40" i="63"/>
  <c r="F44" i="63"/>
  <c r="D46" i="63"/>
  <c r="C91" i="1"/>
  <c r="C3" i="77"/>
  <c r="E3" i="87"/>
  <c r="E91" i="87" s="1"/>
  <c r="J9" i="66"/>
  <c r="C58" i="1"/>
  <c r="C95" i="3"/>
  <c r="O17" i="24" s="1"/>
  <c r="C9" i="88"/>
  <c r="C33" i="88" s="1"/>
  <c r="C134" i="3"/>
  <c r="C44" i="1"/>
  <c r="C20" i="1"/>
  <c r="C64" i="1"/>
  <c r="C119" i="1"/>
  <c r="E10" i="61" s="1"/>
  <c r="C26" i="116"/>
  <c r="D86" i="87"/>
  <c r="D128" i="87"/>
  <c r="C14" i="71" l="1"/>
  <c r="C27" i="71" s="1"/>
  <c r="C37" i="71" s="1"/>
  <c r="C108" i="71"/>
  <c r="C118" i="71" s="1"/>
  <c r="C57" i="71"/>
  <c r="C67" i="71" s="1"/>
  <c r="C132" i="71"/>
  <c r="C142" i="71" s="1"/>
  <c r="C81" i="71"/>
  <c r="C91" i="71" s="1"/>
  <c r="B14" i="71"/>
  <c r="B27" i="71" s="1"/>
  <c r="B37" i="71" s="1"/>
  <c r="B108" i="71"/>
  <c r="B118" i="71" s="1"/>
  <c r="B57" i="71"/>
  <c r="B67" i="71" s="1"/>
  <c r="B132" i="71"/>
  <c r="B142" i="71" s="1"/>
  <c r="B81" i="71"/>
  <c r="B91" i="71" s="1"/>
  <c r="D14" i="71"/>
  <c r="D27" i="71" s="1"/>
  <c r="D37" i="71" s="1"/>
  <c r="D132" i="71"/>
  <c r="D142" i="71" s="1"/>
  <c r="D81" i="71"/>
  <c r="D91" i="71" s="1"/>
  <c r="D108" i="71"/>
  <c r="D118" i="71" s="1"/>
  <c r="D57" i="71"/>
  <c r="D67" i="71" s="1"/>
  <c r="C37" i="1"/>
  <c r="J21" i="66"/>
  <c r="C86" i="117"/>
  <c r="C62" i="118"/>
  <c r="C58" i="123"/>
  <c r="C49" i="1"/>
  <c r="B27" i="2"/>
  <c r="C57" i="132"/>
  <c r="C57" i="135"/>
  <c r="F12" i="64"/>
  <c r="C65" i="119"/>
  <c r="C73" i="1"/>
  <c r="C19" i="61" s="1"/>
  <c r="C8" i="79"/>
  <c r="C42" i="1"/>
  <c r="C38" i="1"/>
  <c r="C75" i="3"/>
  <c r="C72" i="116"/>
  <c r="C75" i="116"/>
  <c r="C140" i="116"/>
  <c r="C40" i="1"/>
  <c r="C12" i="116"/>
  <c r="C51" i="105"/>
  <c r="C8" i="129"/>
  <c r="C36" i="129" s="1"/>
  <c r="C36" i="1"/>
  <c r="C36" i="133"/>
  <c r="C57" i="136"/>
  <c r="C34" i="137"/>
  <c r="C20" i="79"/>
  <c r="C26" i="105"/>
  <c r="C98" i="116"/>
  <c r="C129" i="119"/>
  <c r="C36" i="139"/>
  <c r="C57" i="139"/>
  <c r="C36" i="132"/>
  <c r="C41" i="132" s="1"/>
  <c r="F27" i="66"/>
  <c r="C154" i="121"/>
  <c r="C57" i="126"/>
  <c r="C43" i="1"/>
  <c r="E45" i="71"/>
  <c r="E22" i="71"/>
  <c r="E12" i="71"/>
  <c r="C86" i="118"/>
  <c r="C87" i="118" s="1"/>
  <c r="C58" i="124"/>
  <c r="C36" i="136"/>
  <c r="C41" i="136" s="1"/>
  <c r="C115" i="3"/>
  <c r="C25" i="61"/>
  <c r="C24" i="61" s="1"/>
  <c r="C27" i="1"/>
  <c r="C26" i="1" s="1"/>
  <c r="C9" i="73" s="1"/>
  <c r="C29" i="3"/>
  <c r="O8" i="24" s="1"/>
  <c r="E86" i="87"/>
  <c r="E35" i="137"/>
  <c r="C35" i="137"/>
  <c r="C153" i="87"/>
  <c r="C128" i="87"/>
  <c r="F11" i="62"/>
  <c r="C114" i="116"/>
  <c r="C63" i="1"/>
  <c r="C46" i="116"/>
  <c r="C130" i="3"/>
  <c r="C67" i="116"/>
  <c r="C129" i="116"/>
  <c r="C133" i="116"/>
  <c r="C66" i="3"/>
  <c r="C128" i="120"/>
  <c r="C46" i="79"/>
  <c r="C93" i="118"/>
  <c r="C128" i="118" s="1"/>
  <c r="C8" i="105"/>
  <c r="C39" i="1"/>
  <c r="C45" i="105"/>
  <c r="C57" i="105" s="1"/>
  <c r="C36" i="126"/>
  <c r="C155" i="121"/>
  <c r="E87" i="87"/>
  <c r="J6" i="66"/>
  <c r="C37" i="3"/>
  <c r="O9" i="24" s="1"/>
  <c r="I9" i="24" s="1"/>
  <c r="C60" i="3"/>
  <c r="O12" i="24" s="1"/>
  <c r="H12" i="24" s="1"/>
  <c r="E10" i="3"/>
  <c r="C15" i="3"/>
  <c r="O6" i="24" s="1"/>
  <c r="G27" i="66"/>
  <c r="C89" i="120"/>
  <c r="C154" i="120"/>
  <c r="C155" i="120" s="1"/>
  <c r="C37" i="122"/>
  <c r="C37" i="123"/>
  <c r="C42" i="123" s="1"/>
  <c r="C86" i="87"/>
  <c r="C36" i="131"/>
  <c r="C41" i="131" s="1"/>
  <c r="C36" i="134"/>
  <c r="C45" i="1"/>
  <c r="C41" i="1"/>
  <c r="C31" i="79"/>
  <c r="C37" i="79" s="1"/>
  <c r="C99" i="3"/>
  <c r="C93" i="3" s="1"/>
  <c r="C52" i="1"/>
  <c r="C11" i="73" s="1"/>
  <c r="C36" i="141"/>
  <c r="C41" i="141" s="1"/>
  <c r="D154" i="87"/>
  <c r="D87" i="87"/>
  <c r="E35" i="71"/>
  <c r="G16" i="89"/>
  <c r="C55" i="3"/>
  <c r="O11" i="24" s="1"/>
  <c r="C11" i="24" s="1"/>
  <c r="H27" i="66"/>
  <c r="J23" i="66"/>
  <c r="C89" i="119"/>
  <c r="C65" i="120"/>
  <c r="C90" i="120" s="1"/>
  <c r="C89" i="121"/>
  <c r="C37" i="124"/>
  <c r="C36" i="125"/>
  <c r="C57" i="131"/>
  <c r="C45" i="133"/>
  <c r="C82" i="3"/>
  <c r="C36" i="138"/>
  <c r="F46" i="63"/>
  <c r="C35" i="1"/>
  <c r="C154" i="87"/>
  <c r="C49" i="3"/>
  <c r="O10" i="24" s="1"/>
  <c r="E10" i="24" s="1"/>
  <c r="C22" i="3"/>
  <c r="O7" i="24" s="1"/>
  <c r="E27" i="66"/>
  <c r="I27" i="66"/>
  <c r="J25" i="66"/>
  <c r="C153" i="117"/>
  <c r="C159" i="117" s="1"/>
  <c r="C153" i="118"/>
  <c r="C159" i="118" s="1"/>
  <c r="C65" i="121"/>
  <c r="C90" i="121" s="1"/>
  <c r="C36" i="127"/>
  <c r="C41" i="127" s="1"/>
  <c r="E153" i="87"/>
  <c r="C58" i="122"/>
  <c r="C41" i="122" s="1"/>
  <c r="C57" i="130"/>
  <c r="C36" i="135"/>
  <c r="C41" i="135" s="1"/>
  <c r="C13" i="3"/>
  <c r="D35" i="137"/>
  <c r="C52" i="79"/>
  <c r="C20" i="105"/>
  <c r="C30" i="105"/>
  <c r="C51" i="129"/>
  <c r="C12" i="1"/>
  <c r="C7" i="73" s="1"/>
  <c r="C34" i="117"/>
  <c r="C62" i="117" s="1"/>
  <c r="C87" i="117" s="1"/>
  <c r="C57" i="140"/>
  <c r="C9" i="24"/>
  <c r="C129" i="1"/>
  <c r="E21" i="61"/>
  <c r="C147" i="3"/>
  <c r="C70" i="3"/>
  <c r="C36" i="130"/>
  <c r="C40" i="130" s="1"/>
  <c r="C34" i="116"/>
  <c r="C45" i="129"/>
  <c r="C57" i="134"/>
  <c r="C40" i="134" s="1"/>
  <c r="C158" i="118"/>
  <c r="H23" i="24"/>
  <c r="M23" i="24"/>
  <c r="N23" i="24"/>
  <c r="L23" i="24"/>
  <c r="I23" i="24"/>
  <c r="C23" i="24"/>
  <c r="J23" i="24"/>
  <c r="G23" i="24"/>
  <c r="D23" i="24"/>
  <c r="E23" i="24"/>
  <c r="F23" i="24"/>
  <c r="K23" i="24"/>
  <c r="E154" i="87"/>
  <c r="N12" i="24"/>
  <c r="L12" i="24"/>
  <c r="G12" i="24"/>
  <c r="M12" i="24"/>
  <c r="F12" i="24"/>
  <c r="I12" i="24"/>
  <c r="C41" i="124"/>
  <c r="C38" i="124" s="1"/>
  <c r="C42" i="124" s="1"/>
  <c r="C40" i="125"/>
  <c r="C87" i="87"/>
  <c r="C93" i="116"/>
  <c r="F9" i="24"/>
  <c r="C19" i="1"/>
  <c r="C6" i="61" s="1"/>
  <c r="C57" i="1"/>
  <c r="C9" i="61" s="1"/>
  <c r="E4" i="73"/>
  <c r="C4" i="61"/>
  <c r="C46" i="1"/>
  <c r="C8" i="61" s="1"/>
  <c r="C93" i="117"/>
  <c r="C128" i="117" s="1"/>
  <c r="C36" i="140"/>
  <c r="C41" i="140" s="1"/>
  <c r="C95" i="1"/>
  <c r="E7" i="73" s="1"/>
  <c r="C97" i="1"/>
  <c r="E9" i="73" s="1"/>
  <c r="C115" i="1"/>
  <c r="C57" i="133"/>
  <c r="C10" i="116"/>
  <c r="C5" i="116" s="1"/>
  <c r="C45" i="138"/>
  <c r="C57" i="138" s="1"/>
  <c r="C94" i="1"/>
  <c r="E6" i="73" s="1"/>
  <c r="C96" i="1"/>
  <c r="E8" i="73" s="1"/>
  <c r="C117" i="1"/>
  <c r="E8" i="61" s="1"/>
  <c r="C40" i="139"/>
  <c r="B38" i="2"/>
  <c r="F10" i="24"/>
  <c r="K10" i="24"/>
  <c r="C10" i="24"/>
  <c r="N17" i="24"/>
  <c r="H17" i="24"/>
  <c r="L17" i="24"/>
  <c r="C17" i="24"/>
  <c r="G17" i="24"/>
  <c r="K17" i="24"/>
  <c r="F17" i="24"/>
  <c r="J17" i="24"/>
  <c r="D17" i="24"/>
  <c r="E17" i="24"/>
  <c r="I17" i="24"/>
  <c r="M17" i="24"/>
  <c r="F16" i="24"/>
  <c r="J16" i="24"/>
  <c r="N16" i="24"/>
  <c r="G16" i="24"/>
  <c r="K16" i="24"/>
  <c r="D16" i="24"/>
  <c r="H16" i="24"/>
  <c r="L16" i="24"/>
  <c r="E16" i="24"/>
  <c r="I16" i="24"/>
  <c r="M16" i="24"/>
  <c r="C16" i="24"/>
  <c r="F18" i="24"/>
  <c r="J18" i="24"/>
  <c r="N18" i="24"/>
  <c r="G18" i="24"/>
  <c r="K18" i="24"/>
  <c r="D18" i="24"/>
  <c r="H18" i="24"/>
  <c r="L18" i="24"/>
  <c r="E18" i="24"/>
  <c r="I18" i="24"/>
  <c r="M18" i="24"/>
  <c r="C18" i="24"/>
  <c r="E25" i="61"/>
  <c r="E30" i="61" s="1"/>
  <c r="D14" i="76" s="1"/>
  <c r="C140" i="1"/>
  <c r="C21" i="73"/>
  <c r="H19" i="24"/>
  <c r="M19" i="24"/>
  <c r="E19" i="24"/>
  <c r="I19" i="24"/>
  <c r="L19" i="24"/>
  <c r="D19" i="24"/>
  <c r="F19" i="24"/>
  <c r="J19" i="24"/>
  <c r="C19" i="24"/>
  <c r="G19" i="24"/>
  <c r="K19" i="24"/>
  <c r="N19" i="24"/>
  <c r="H21" i="24"/>
  <c r="L21" i="24"/>
  <c r="E21" i="24"/>
  <c r="I21" i="24"/>
  <c r="M21" i="24"/>
  <c r="C21" i="24"/>
  <c r="F21" i="24"/>
  <c r="J21" i="24"/>
  <c r="N21" i="24"/>
  <c r="G21" i="24"/>
  <c r="K21" i="24"/>
  <c r="D21" i="24"/>
  <c r="F22" i="24"/>
  <c r="J22" i="24"/>
  <c r="N22" i="24"/>
  <c r="C22" i="24"/>
  <c r="G22" i="24"/>
  <c r="K22" i="24"/>
  <c r="H22" i="24"/>
  <c r="L22" i="24"/>
  <c r="D22" i="24"/>
  <c r="E22" i="24"/>
  <c r="I22" i="24"/>
  <c r="M22" i="24"/>
  <c r="C57" i="129"/>
  <c r="C89" i="3"/>
  <c r="O13" i="24" s="1"/>
  <c r="C154" i="118" l="1"/>
  <c r="C36" i="105"/>
  <c r="C128" i="116"/>
  <c r="C34" i="1"/>
  <c r="C10" i="73" s="1"/>
  <c r="C86" i="116"/>
  <c r="C72" i="1"/>
  <c r="C86" i="1" s="1"/>
  <c r="C18" i="61"/>
  <c r="C30" i="61" s="1"/>
  <c r="C129" i="3"/>
  <c r="H9" i="24"/>
  <c r="C58" i="79"/>
  <c r="C90" i="119"/>
  <c r="E25" i="119" s="1"/>
  <c r="C40" i="129"/>
  <c r="C37" i="129" s="1"/>
  <c r="C41" i="129" s="1"/>
  <c r="C158" i="117"/>
  <c r="C40" i="126"/>
  <c r="C37" i="126" s="1"/>
  <c r="C41" i="126" s="1"/>
  <c r="J27" i="66"/>
  <c r="M8" i="24"/>
  <c r="G8" i="24"/>
  <c r="H8" i="24"/>
  <c r="I8" i="24"/>
  <c r="D8" i="24"/>
  <c r="J8" i="24"/>
  <c r="K8" i="24"/>
  <c r="C153" i="1"/>
  <c r="B14" i="76" s="1"/>
  <c r="H10" i="24"/>
  <c r="N10" i="24"/>
  <c r="I10" i="24"/>
  <c r="E9" i="24"/>
  <c r="K9" i="24"/>
  <c r="K12" i="24"/>
  <c r="E12" i="24"/>
  <c r="D12" i="24"/>
  <c r="J12" i="24"/>
  <c r="C12" i="24"/>
  <c r="J9" i="24"/>
  <c r="D9" i="24"/>
  <c r="C7" i="24"/>
  <c r="E7" i="24"/>
  <c r="G7" i="24"/>
  <c r="I7" i="24"/>
  <c r="K7" i="24"/>
  <c r="M7" i="24"/>
  <c r="D7" i="24"/>
  <c r="F7" i="24"/>
  <c r="H7" i="24"/>
  <c r="J7" i="24"/>
  <c r="L7" i="24"/>
  <c r="N7" i="24"/>
  <c r="C6" i="24"/>
  <c r="E6" i="24"/>
  <c r="G6" i="24"/>
  <c r="I6" i="24"/>
  <c r="K6" i="24"/>
  <c r="M6" i="24"/>
  <c r="D6" i="24"/>
  <c r="F6" i="24"/>
  <c r="H6" i="24"/>
  <c r="J6" i="24"/>
  <c r="L6" i="24"/>
  <c r="N6" i="24"/>
  <c r="F8" i="24"/>
  <c r="E8" i="24"/>
  <c r="N8" i="24"/>
  <c r="L8" i="24"/>
  <c r="C8" i="24"/>
  <c r="C154" i="117"/>
  <c r="L10" i="24"/>
  <c r="D10" i="24"/>
  <c r="G10" i="24"/>
  <c r="J10" i="24"/>
  <c r="M10" i="24"/>
  <c r="C62" i="116"/>
  <c r="C87" i="116" s="1"/>
  <c r="M9" i="24"/>
  <c r="N9" i="24"/>
  <c r="G9" i="24"/>
  <c r="L9" i="24"/>
  <c r="C153" i="116"/>
  <c r="C159" i="116" s="1"/>
  <c r="C37" i="130"/>
  <c r="C41" i="130" s="1"/>
  <c r="C10" i="1"/>
  <c r="C5" i="1" s="1"/>
  <c r="C62" i="1" s="1"/>
  <c r="C8" i="3"/>
  <c r="E15" i="3" s="1"/>
  <c r="E14" i="76"/>
  <c r="C98" i="1"/>
  <c r="E10" i="73" s="1"/>
  <c r="E18" i="73" s="1"/>
  <c r="E30" i="73" s="1"/>
  <c r="O20" i="24"/>
  <c r="C40" i="133"/>
  <c r="C37" i="133" s="1"/>
  <c r="C41" i="133" s="1"/>
  <c r="C37" i="134"/>
  <c r="C41" i="134" s="1"/>
  <c r="C38" i="122"/>
  <c r="C42" i="122" s="1"/>
  <c r="C41" i="79"/>
  <c r="C37" i="139"/>
  <c r="C41" i="139" s="1"/>
  <c r="C40" i="138"/>
  <c r="C37" i="138" s="1"/>
  <c r="C41" i="138" s="1"/>
  <c r="E6" i="61"/>
  <c r="E17" i="61" s="1"/>
  <c r="E31" i="61" s="1"/>
  <c r="C114" i="1"/>
  <c r="C37" i="125"/>
  <c r="C41" i="125" s="1"/>
  <c r="C17" i="61"/>
  <c r="J13" i="24"/>
  <c r="I13" i="24"/>
  <c r="D13" i="24"/>
  <c r="H13" i="24"/>
  <c r="C13" i="24"/>
  <c r="M13" i="24"/>
  <c r="K13" i="24"/>
  <c r="F13" i="24"/>
  <c r="L13" i="24"/>
  <c r="E13" i="24"/>
  <c r="N13" i="24"/>
  <c r="G13" i="24"/>
  <c r="C159" i="1"/>
  <c r="B7" i="76"/>
  <c r="C19" i="73"/>
  <c r="C29" i="73" s="1"/>
  <c r="D7" i="76" l="1"/>
  <c r="C31" i="61"/>
  <c r="C40" i="105"/>
  <c r="C37" i="105" s="1"/>
  <c r="C41" i="105" s="1"/>
  <c r="C154" i="116"/>
  <c r="C158" i="116"/>
  <c r="C6" i="73"/>
  <c r="C18" i="73" s="1"/>
  <c r="C30" i="73" s="1"/>
  <c r="D8" i="76" s="1"/>
  <c r="D15" i="76"/>
  <c r="C33" i="61"/>
  <c r="E33" i="61"/>
  <c r="C93" i="1"/>
  <c r="C128" i="1" s="1"/>
  <c r="O5" i="24"/>
  <c r="C65" i="3"/>
  <c r="C90" i="3" s="1"/>
  <c r="J20" i="24"/>
  <c r="E20" i="24"/>
  <c r="H20" i="24"/>
  <c r="L20" i="24"/>
  <c r="D20" i="24"/>
  <c r="N20" i="24"/>
  <c r="C20" i="24"/>
  <c r="K20" i="24"/>
  <c r="F20" i="24"/>
  <c r="I20" i="24"/>
  <c r="G20" i="24"/>
  <c r="M20" i="24"/>
  <c r="E32" i="61"/>
  <c r="C32" i="61"/>
  <c r="C38" i="79"/>
  <c r="C42" i="79" s="1"/>
  <c r="D13" i="76"/>
  <c r="B6" i="76"/>
  <c r="C87" i="1"/>
  <c r="B8" i="76" s="1"/>
  <c r="E7" i="76"/>
  <c r="C144" i="119" l="1"/>
  <c r="C141" i="119" s="1"/>
  <c r="C155" i="119" s="1"/>
  <c r="C156" i="119" s="1"/>
  <c r="F156" i="119" s="1"/>
  <c r="E32" i="73"/>
  <c r="D6" i="76"/>
  <c r="E31" i="73"/>
  <c r="C32" i="73"/>
  <c r="C31" i="73"/>
  <c r="E8" i="76"/>
  <c r="B13" i="76"/>
  <c r="E13" i="76" s="1"/>
  <c r="C158" i="1"/>
  <c r="C154" i="1"/>
  <c r="B15" i="76" s="1"/>
  <c r="E15" i="76" s="1"/>
  <c r="D5" i="24"/>
  <c r="D14" i="24" s="1"/>
  <c r="K5" i="24"/>
  <c r="K14" i="24" s="1"/>
  <c r="N5" i="24"/>
  <c r="N14" i="24" s="1"/>
  <c r="J5" i="24"/>
  <c r="J14" i="24" s="1"/>
  <c r="E5" i="24"/>
  <c r="E14" i="24" s="1"/>
  <c r="H5" i="24"/>
  <c r="H14" i="24" s="1"/>
  <c r="C5" i="24"/>
  <c r="C14" i="24" s="1"/>
  <c r="M5" i="24"/>
  <c r="M14" i="24" s="1"/>
  <c r="I5" i="24"/>
  <c r="I14" i="24" s="1"/>
  <c r="L5" i="24"/>
  <c r="L14" i="24" s="1"/>
  <c r="F5" i="24"/>
  <c r="F14" i="24" s="1"/>
  <c r="G5" i="24"/>
  <c r="G14" i="24" s="1"/>
  <c r="E6" i="76"/>
  <c r="C144" i="3" l="1"/>
  <c r="C141" i="3" s="1"/>
  <c r="C155" i="3" s="1"/>
  <c r="O24" i="24" s="1"/>
  <c r="O14" i="24"/>
  <c r="C156" i="3" l="1"/>
  <c r="E108" i="3" s="1"/>
  <c r="G24" i="24"/>
  <c r="G25" i="24" s="1"/>
  <c r="G26" i="24" s="1"/>
  <c r="E24" i="24"/>
  <c r="E25" i="24" s="1"/>
  <c r="E26" i="24" s="1"/>
  <c r="J24" i="24"/>
  <c r="J25" i="24" s="1"/>
  <c r="J26" i="24" s="1"/>
  <c r="H24" i="24"/>
  <c r="H25" i="24" s="1"/>
  <c r="H26" i="24" s="1"/>
  <c r="K24" i="24"/>
  <c r="K25" i="24" s="1"/>
  <c r="K26" i="24" s="1"/>
  <c r="D24" i="24"/>
  <c r="D25" i="24" s="1"/>
  <c r="D26" i="24" s="1"/>
  <c r="L24" i="24"/>
  <c r="L25" i="24" s="1"/>
  <c r="L26" i="24" s="1"/>
  <c r="M24" i="24"/>
  <c r="M25" i="24" s="1"/>
  <c r="M26" i="24" s="1"/>
  <c r="I24" i="24"/>
  <c r="I25" i="24" s="1"/>
  <c r="I26" i="24" s="1"/>
  <c r="F24" i="24"/>
  <c r="F25" i="24" s="1"/>
  <c r="F26" i="24" s="1"/>
  <c r="C24" i="24"/>
  <c r="C25" i="24" s="1"/>
  <c r="N24" i="24"/>
  <c r="N25" i="24" s="1"/>
  <c r="N26" i="24" s="1"/>
  <c r="O25" i="24" l="1"/>
  <c r="O26" i="24" s="1"/>
  <c r="C26" i="24"/>
</calcChain>
</file>

<file path=xl/sharedStrings.xml><?xml version="1.0" encoding="utf-8"?>
<sst xmlns="http://schemas.openxmlformats.org/spreadsheetml/2006/main" count="5892" uniqueCount="746">
  <si>
    <t>Beruházási (felhalmozási) kiadások előirányzata beruházásonként</t>
  </si>
  <si>
    <t>Felújítási kiadások előirányzata felújításonként</t>
  </si>
  <si>
    <t>Vállalkozási maradvány igénybevétele</t>
  </si>
  <si>
    <t>Adatszolgáltatás 
az elismert tartozásállományról</t>
  </si>
  <si>
    <t>Többéves kihatással járó döntések számszerűsítése évenkénti bontásban és összesítve célok szerint</t>
  </si>
  <si>
    <t>Működési célú finanszírozási kiadások
(hiteltörlesztés, értékpapír vásárlás, stb.)</t>
  </si>
  <si>
    <t>Felhalmozási célú finanszírozási kiadások
(hiteltörlesztés, értékpapír vásárlás, stb.)</t>
  </si>
  <si>
    <t>Eszközök hasznosítása utáni kedvezmény, mentesség</t>
  </si>
  <si>
    <t>Helyiségek hasznosítása utáni kedvezmény, mentesség</t>
  </si>
  <si>
    <t>Felhalmozási bevételek</t>
  </si>
  <si>
    <t>Finanszírozási bevételek</t>
  </si>
  <si>
    <t xml:space="preserve"> Egyéb működési célú kiadások</t>
  </si>
  <si>
    <t>Finanszírozási kiadások</t>
  </si>
  <si>
    <t>adatok forintban</t>
  </si>
  <si>
    <t>Támogatás összge</t>
  </si>
  <si>
    <t>B E V É T E L E K</t>
  </si>
  <si>
    <t>Sor-szám</t>
  </si>
  <si>
    <t>Bevételi jogcím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</si>
  <si>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</si>
  <si>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</si>
  <si>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</si>
  <si>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</si>
  <si>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</si>
  <si>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</si>
  <si>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</si>
  <si>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</si>
  <si>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</si>
  <si>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</si>
  <si>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</si>
  <si>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</si>
  <si>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</si>
  <si>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</si>
  <si>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</si>
  <si>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</si>
  <si>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</si>
  <si>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</si>
  <si>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</si>
  <si>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</si>
  <si>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</si>
  <si>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</si>
  <si>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</si>
  <si>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</si>
  <si>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</si>
  <si>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</si>
  <si>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</si>
  <si>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</si>
  <si>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</si>
  <si>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K I A D Á S O K</t>
  </si>
  <si>
    <t>Kiadási jogcímek</t>
  </si>
  <si>
    <t>Személyi  juttatások</t>
  </si>
  <si>
    <t>Tartalékok</t>
  </si>
  <si>
    <t>Összesen</t>
  </si>
  <si>
    <t>Jogcím</t>
  </si>
  <si>
    <t>Összesen:</t>
  </si>
  <si>
    <t>01</t>
  </si>
  <si>
    <t>Ezer forintban !</t>
  </si>
  <si>
    <t>Előirányzat</t>
  </si>
  <si>
    <t>Bevételek</t>
  </si>
  <si>
    <t>Kiadások</t>
  </si>
  <si>
    <t>Egyéb fejlesztési célú kiadások</t>
  </si>
  <si>
    <t>02</t>
  </si>
  <si>
    <t>03</t>
  </si>
  <si>
    <t xml:space="preserve"> Ezer forintban !</t>
  </si>
  <si>
    <t>Megnevezés</t>
  </si>
  <si>
    <t>Személyi juttatások</t>
  </si>
  <si>
    <t>ÖSSZESEN:</t>
  </si>
  <si>
    <t>Beruházás  megnevezése</t>
  </si>
  <si>
    <t>Teljes költség</t>
  </si>
  <si>
    <t>Kivitelezés kezdési és befejezési éve</t>
  </si>
  <si>
    <t>Felújítás  megnevezése</t>
  </si>
  <si>
    <t>Kiadás vonzata évenként</t>
  </si>
  <si>
    <t>Sor-
szám</t>
  </si>
  <si>
    <t>............................</t>
  </si>
  <si>
    <t>Kedvezmény nélkül elérhető bevétel</t>
  </si>
  <si>
    <t>Kedvezmények összege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</si>
  <si>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</si>
  <si>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</si>
  <si>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</si>
  <si>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</si>
  <si>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</si>
  <si>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</si>
  <si>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</si>
  <si>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</si>
  <si>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</si>
  <si>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</si>
  <si>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</si>
  <si>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</si>
  <si>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Kötelezettség jogcíme</t>
  </si>
  <si>
    <t>Köt. váll.
 éve</t>
  </si>
  <si>
    <t>3.1.</t>
  </si>
  <si>
    <t>3.2.</t>
  </si>
  <si>
    <t>3.3.</t>
  </si>
  <si>
    <t>3.4.</t>
  </si>
  <si>
    <t>5.1.</t>
  </si>
  <si>
    <t>5.2.</t>
  </si>
  <si>
    <t>5.3.</t>
  </si>
  <si>
    <t>6.1.</t>
  </si>
  <si>
    <t>6.2.</t>
  </si>
  <si>
    <t>7.1.</t>
  </si>
  <si>
    <t>7.2.</t>
  </si>
  <si>
    <t>1.1.</t>
  </si>
  <si>
    <t>1.2.</t>
  </si>
  <si>
    <t>1.3.</t>
  </si>
  <si>
    <t>1.4.</t>
  </si>
  <si>
    <t>1.6.</t>
  </si>
  <si>
    <t>1.7.</t>
  </si>
  <si>
    <t>2.1.</t>
  </si>
  <si>
    <t>2.2.</t>
  </si>
  <si>
    <t>2.3.</t>
  </si>
  <si>
    <t>2.4.</t>
  </si>
  <si>
    <t>2.5.</t>
  </si>
  <si>
    <t>Bevételek összesen:</t>
  </si>
  <si>
    <t>Kiadások összesen:</t>
  </si>
  <si>
    <t>Egyenleg</t>
  </si>
  <si>
    <t>1.5</t>
  </si>
  <si>
    <t>1.8.</t>
  </si>
  <si>
    <t>1.9.</t>
  </si>
  <si>
    <t>1.10.</t>
  </si>
  <si>
    <t>1.11.</t>
  </si>
  <si>
    <t>2.6.</t>
  </si>
  <si>
    <t>1.12.</t>
  </si>
  <si>
    <t>2.7.</t>
  </si>
  <si>
    <t>Lakosság részére lakásépítéshez nyújtott kölcsön elengedése</t>
  </si>
  <si>
    <t>Lakosság részére lakásfelújításhoz nyújtott kölcsön elengedése</t>
  </si>
  <si>
    <t>Gépjárműadóból biztosított kedvezmény, mentesség</t>
  </si>
  <si>
    <t>Egyéb kedvezmény</t>
  </si>
  <si>
    <t>Egyéb kölcsön elengedése</t>
  </si>
  <si>
    <t>Támogatott szervezet neve</t>
  </si>
  <si>
    <t>Támogatás célja</t>
  </si>
  <si>
    <t>30.</t>
  </si>
  <si>
    <t>31.</t>
  </si>
  <si>
    <t>32.</t>
  </si>
  <si>
    <t>33.</t>
  </si>
  <si>
    <t>Források</t>
  </si>
  <si>
    <t>Ezer forintban!</t>
  </si>
  <si>
    <t>Saját erő</t>
  </si>
  <si>
    <t>EU-s forrás</t>
  </si>
  <si>
    <t>Hitel</t>
  </si>
  <si>
    <t>Egyéb forrás</t>
  </si>
  <si>
    <t>Kiadások, költségek</t>
  </si>
  <si>
    <t>Források összesen:</t>
  </si>
  <si>
    <t>EU-s projekt neve, azonosítója:</t>
  </si>
  <si>
    <t>Dologi  kiadások</t>
  </si>
  <si>
    <t>Személyi jellegű</t>
  </si>
  <si>
    <t>Beruházások, beszerzések</t>
  </si>
  <si>
    <t>Szolgáltatások igénybe vétele</t>
  </si>
  <si>
    <t>Adminisztratív költségek</t>
  </si>
  <si>
    <t>- saját erőből központi támogatás</t>
  </si>
  <si>
    <t>Társfinanszírozás</t>
  </si>
  <si>
    <t>1.5.</t>
  </si>
  <si>
    <t>11.1.</t>
  </si>
  <si>
    <t>11.2.</t>
  </si>
  <si>
    <t>Költségvetési rendelet űrlapjainak összefüggései:</t>
  </si>
  <si>
    <t>1. sz. táblázat</t>
  </si>
  <si>
    <t>2. sz. táblázat</t>
  </si>
  <si>
    <t>3. sz. táblázat</t>
  </si>
  <si>
    <t>ELTÉRÉS</t>
  </si>
  <si>
    <t>Rövid lejáratú hitelek törlesztése</t>
  </si>
  <si>
    <t>Hosszú lejáratú hitelek törlesztése</t>
  </si>
  <si>
    <t>I. Működési célú bevételek és kiadások mérlege
(Önkormányzati szinten)</t>
  </si>
  <si>
    <t>II. Felhalmozási célú bevételek és kiadások mérlege
(Önkormányzati szinten)</t>
  </si>
  <si>
    <t>Helyi adóból biztosított kedvezmény, mentesség összesen</t>
  </si>
  <si>
    <t xml:space="preserve">-ebből:            Építményadó </t>
  </si>
  <si>
    <t xml:space="preserve">Magánszemélyek kommunális adója </t>
  </si>
  <si>
    <t xml:space="preserve">Iparűzési adó állandó jelleggel végzett iparűzési tevékenység után </t>
  </si>
  <si>
    <t>Ellátottak térítési díjának méltányosságból történő elengedése</t>
  </si>
  <si>
    <t>Ellátottak kártérítésének méltányosságból történő elengedése</t>
  </si>
  <si>
    <t>Költségvetési hiány:</t>
  </si>
  <si>
    <t>Költségvetési többlet:</t>
  </si>
  <si>
    <t>3.5.</t>
  </si>
  <si>
    <t>3.6.</t>
  </si>
  <si>
    <t xml:space="preserve">4. </t>
  </si>
  <si>
    <t>Közhatalmi bevételek</t>
  </si>
  <si>
    <t>5.4.</t>
  </si>
  <si>
    <t>5.5.</t>
  </si>
  <si>
    <t>5.6.</t>
  </si>
  <si>
    <t>5.7.</t>
  </si>
  <si>
    <t>5.8.</t>
  </si>
  <si>
    <t xml:space="preserve">7. </t>
  </si>
  <si>
    <t>8.1.</t>
  </si>
  <si>
    <t>8.2.</t>
  </si>
  <si>
    <t>Munkaadókat terhelő járulékok és szociális hozzájárulási adó</t>
  </si>
  <si>
    <t>Ellátottak pénzbeli juttatásai</t>
  </si>
  <si>
    <t>Egyéb működési célú kiadások</t>
  </si>
  <si>
    <t>1.13.</t>
  </si>
  <si>
    <t>Felújítások</t>
  </si>
  <si>
    <t>2.8.</t>
  </si>
  <si>
    <t>2.9.</t>
  </si>
  <si>
    <t>2.10.</t>
  </si>
  <si>
    <t>Értékpapír vásárlása, visszavásárlása</t>
  </si>
  <si>
    <t>Forgatási célú belföldi, külföldi értékpapírok vásárlása</t>
  </si>
  <si>
    <t>Betét elhelyezése</t>
  </si>
  <si>
    <t>Hitelek törlesztése</t>
  </si>
  <si>
    <t>Befektetési célú belföldi, külföldi értékpapírok vásárlása</t>
  </si>
  <si>
    <t>Bevételi jogcímek</t>
  </si>
  <si>
    <t>MEGNEVEZÉS</t>
  </si>
  <si>
    <t>ÖSSZES KÖTELEZETTSÉG</t>
  </si>
  <si>
    <t>SAJÁT BEVÉTELEK ÖSSZESEN*</t>
  </si>
  <si>
    <t>Fejlesztési cél leírása</t>
  </si>
  <si>
    <t>ADÓSSÁGOT KELETKEZTETŐ ÜGYLETEK VÁRHATÓ EGYÜTTES ÖSSZEGE</t>
  </si>
  <si>
    <t>Nem kötelező!</t>
  </si>
  <si>
    <t>Feladat megnevezése</t>
  </si>
  <si>
    <t>Költségvetési szerv megnevezése</t>
  </si>
  <si>
    <t>Száma</t>
  </si>
  <si>
    <t>Közfoglalkoztatottak létszáma (fő)</t>
  </si>
  <si>
    <t>Beruházási kiadások beruházásonként</t>
  </si>
  <si>
    <t>Felújítási kiadások felújításonként</t>
  </si>
  <si>
    <t>Egyéb (Pl.: garancia és kezességvállalás, stb.)</t>
  </si>
  <si>
    <t>Költségvetési szerv neve:</t>
  </si>
  <si>
    <t>Költségvetési szerv számlaszáma:</t>
  </si>
  <si>
    <t xml:space="preserve">Tartozásállomány megnevezése </t>
  </si>
  <si>
    <t>30 nap 
alatti
állomány</t>
  </si>
  <si>
    <t>30-60 nap 
közötti 
állomány</t>
  </si>
  <si>
    <t>60 napon 
túli 
állomány</t>
  </si>
  <si>
    <t>Át-ütemezett</t>
  </si>
  <si>
    <t>Állammal szembeni tartozások</t>
  </si>
  <si>
    <t>Központi költségvetéssel szemben fennálló tartozás</t>
  </si>
  <si>
    <t>Elkülönített állami pénzalapokkal szembeni tartozás</t>
  </si>
  <si>
    <t>TB alapokkal szembeni tartozás</t>
  </si>
  <si>
    <t>Tartozásállomány önkormányzatok és intézmények felé</t>
  </si>
  <si>
    <t>Egyéb tartozásállomány</t>
  </si>
  <si>
    <t>költségvetési szerv vezetője</t>
  </si>
  <si>
    <t>Fejlesztés várható kiadása</t>
  </si>
  <si>
    <t>*Az adósságot keletkeztető ügyletekhez történő hozzájárulás részletes szabályairól szóló 353/2011. (XII.31.) Korm. Rendelet 2.§ (1) bekezdése alapján.</t>
  </si>
  <si>
    <t xml:space="preserve">   Költségvetési maradvány igénybevétele </t>
  </si>
  <si>
    <t xml:space="preserve">   Vállalkozási maradvány igénybevétele </t>
  </si>
  <si>
    <t>Beruházások</t>
  </si>
  <si>
    <t>Ezer forintban</t>
  </si>
  <si>
    <t>8.3.</t>
  </si>
  <si>
    <t>Egyéb felhalmozási kiadások</t>
  </si>
  <si>
    <t xml:space="preserve">   Betét visszavonásából származó bevétel </t>
  </si>
  <si>
    <t xml:space="preserve">   Egyéb belső finanszírozási bevételek</t>
  </si>
  <si>
    <t xml:space="preserve">Dologi kiadások </t>
  </si>
  <si>
    <t>Kölcsön törlesztése</t>
  </si>
  <si>
    <t>Tárgyévi  hiány:</t>
  </si>
  <si>
    <t>Tárgyévi  többlet:</t>
  </si>
  <si>
    <t>Költségvetési maradvány igénybevétele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</si>
  <si>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</si>
  <si>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</si>
  <si>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</si>
  <si>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</si>
  <si>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Hiány külső finanszírozásának bevételei (20+…+24 )</t>
  </si>
  <si>
    <t>Hosszú lejáratú hitelek, kölcsönök felvétele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</si>
  <si>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</si>
  <si>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</si>
  <si>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</si>
  <si>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</si>
  <si>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Hiány belső finanszírozás bevételei ( 14+…+18)</t>
  </si>
  <si>
    <t>Az önkormányzati vagyon és az önkormányzatot megillető vagyoni értékű jog értékesítéséből és hasznosításából származó bevétel</t>
  </si>
  <si>
    <t>Bírság-, pótlék- és díjbevétel</t>
  </si>
  <si>
    <t>Tárgyi eszköz és az immateriális jószág, részvény, részesedés, vállalat értékesítéséből vagy privatizációból származó bevétel</t>
  </si>
  <si>
    <t>Évek</t>
  </si>
  <si>
    <t>Önkormányzat működési támogatásai (1.1.+…+.1.6.)</t>
  </si>
  <si>
    <t>Helyi önkormányzatok működésének általános támogatása</t>
  </si>
  <si>
    <t>Önkormányzatok egyes köznevelési feladatainak támogatása</t>
  </si>
  <si>
    <t>Önkormányzatok szociális és gyermekjóléti feladatainak támogatása</t>
  </si>
  <si>
    <t>Önkormányzatok kulturális feladatainak támogatása</t>
  </si>
  <si>
    <t>Működési célú támogatások államháztartáson belülről (2.1.+…+.2.5.)</t>
  </si>
  <si>
    <t>Elvonások és befizetések bevételei</t>
  </si>
  <si>
    <t xml:space="preserve">Működési célú garancia- és kezességvállalásból megtérülések </t>
  </si>
  <si>
    <t xml:space="preserve">Egyéb működési célú támogatások bevételei </t>
  </si>
  <si>
    <t>2.5.-ből EU-s támogatás</t>
  </si>
  <si>
    <t>Felhalmozási célú támogatások államháztartáson belülről (3.1.+…+3.5.)</t>
  </si>
  <si>
    <t>Felhalmozási célú önkormányzati támogatások</t>
  </si>
  <si>
    <t>Felhalmozási célú garancia- és kezességvállalásból megtérülések</t>
  </si>
  <si>
    <t>Egyéb felhalmozási célú támogatások bevételei</t>
  </si>
  <si>
    <t>3.5.-ből EU-s támogatás</t>
  </si>
  <si>
    <t>Közhatalmi bevételek (4.1.+4.2.+4.3.+4.4.)</t>
  </si>
  <si>
    <t>4.1.</t>
  </si>
  <si>
    <t>4.2.</t>
  </si>
  <si>
    <t>4.3.</t>
  </si>
  <si>
    <t>4.4.</t>
  </si>
  <si>
    <t>Gépjárműadó</t>
  </si>
  <si>
    <t>Egyéb áruhasználati és szolgáltatási adók</t>
  </si>
  <si>
    <t>Egyéb közhatalmi bevételek</t>
  </si>
  <si>
    <t>5.9.</t>
  </si>
  <si>
    <t>5.10.</t>
  </si>
  <si>
    <t>Készletértékesítés ellenértéke</t>
  </si>
  <si>
    <t>Szolgáltatások ellenértéke</t>
  </si>
  <si>
    <t>Közvetített szolgáltatások értéke</t>
  </si>
  <si>
    <t>Tulajdonosi bevételek</t>
  </si>
  <si>
    <t>Ellátási díjak</t>
  </si>
  <si>
    <t xml:space="preserve">Kiszámlázott általános forgalmi adó </t>
  </si>
  <si>
    <t>Általános forgalmi adó visszatérítése</t>
  </si>
  <si>
    <t>Kamatbevételek</t>
  </si>
  <si>
    <t>Egyéb pénzügyi műveletek bevételei</t>
  </si>
  <si>
    <t>Egyéb működési bevételek</t>
  </si>
  <si>
    <t>Felhalmozási bevételek (6.1.+…+6.5.)</t>
  </si>
  <si>
    <t>6.3.</t>
  </si>
  <si>
    <t>6.4.</t>
  </si>
  <si>
    <t>6.5.</t>
  </si>
  <si>
    <t>Immateriális javak értékesítése</t>
  </si>
  <si>
    <t>Ingatlanok értékesítése</t>
  </si>
  <si>
    <t>Egyéb tárgyi eszközök értékesítése</t>
  </si>
  <si>
    <t>Részesedések értékesítése</t>
  </si>
  <si>
    <t>Részesedések megszűnéséhez kapcsolódó bevételek</t>
  </si>
  <si>
    <t>Működési célú átvett pénzeszközök (7.1. + … + 7.3.)</t>
  </si>
  <si>
    <t>Működési célú garancia- és kezességvállalásból megtérülések ÁH-n kívülről</t>
  </si>
  <si>
    <t>Egyéb működési célú átvett pénzeszköz</t>
  </si>
  <si>
    <t>7.3.-ból EU-s támogatás (közvetlen)</t>
  </si>
  <si>
    <t>7.3.</t>
  </si>
  <si>
    <t>7.4.</t>
  </si>
  <si>
    <t>Felhalmozási célú átvett pénzeszközök (8.1.+8.2.+8.3.)</t>
  </si>
  <si>
    <t>8.4.</t>
  </si>
  <si>
    <t>Felhalm. célú garancia- és kezességvállalásból megtérülések ÁH-n kívülről</t>
  </si>
  <si>
    <t>Egyéb felhalmozási célú átvett pénzeszköz</t>
  </si>
  <si>
    <t>8.3.-ból EU-s támogatás (közvetlen)</t>
  </si>
  <si>
    <t>KÖLTSÉGVETÉSI BEVÉTELEK ÖSSZESEN: (1+…+8)</t>
  </si>
  <si>
    <t xml:space="preserve">   10.</t>
  </si>
  <si>
    <t>Hitel-, kölcsönfelvétel államháztartáson kívülről  (10.1.+10.3.)</t>
  </si>
  <si>
    <t>Hosszú lejáratú  hitelek, kölcsönök felvétele</t>
  </si>
  <si>
    <t>Likviditási célú  hitelek, kölcsönök felvétele pénzügyi vállalkozástól</t>
  </si>
  <si>
    <t xml:space="preserve">    Rövid lejáratú  hitelek, kölcsönök felvétele</t>
  </si>
  <si>
    <t xml:space="preserve">   11.</t>
  </si>
  <si>
    <t>Belföldi értékpapírok bevételei (11.1. +…+ 11.4.)</t>
  </si>
  <si>
    <t>Forgatási célú belföldi értékpapírok beváltása,  értékesítése</t>
  </si>
  <si>
    <t>Forgatási célú belföldi értékpapírok kibocsátása</t>
  </si>
  <si>
    <t>Befektetési célú belföldi értékpapírok beváltása,  értékesítése</t>
  </si>
  <si>
    <t>Befektetési célú belföldi értékpapírok kibocsátása</t>
  </si>
  <si>
    <t xml:space="preserve">    12.</t>
  </si>
  <si>
    <t>Maradvány igénybevétele (12.1. + 12.2.)</t>
  </si>
  <si>
    <t>Előző év költségvetési maradványának igénybevétele</t>
  </si>
  <si>
    <t>Előző év vállalkozási maradványának igénybevétele</t>
  </si>
  <si>
    <t xml:space="preserve">    13.</t>
  </si>
  <si>
    <t>Belföldi finanszírozás bevételei (13.1. + … + 13.3.)</t>
  </si>
  <si>
    <t>Államháztartáson belüli megelőlegezések</t>
  </si>
  <si>
    <t>Államháztartáson belüli megelőlegezések törlesztése</t>
  </si>
  <si>
    <t>Betétek megszüntetése</t>
  </si>
  <si>
    <t xml:space="preserve">    14.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</si>
  <si>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</si>
  <si>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</si>
  <si>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</si>
  <si>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</si>
  <si>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</si>
  <si>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</si>
  <si>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</si>
  <si>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</si>
  <si>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</si>
  <si>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</si>
  <si>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</si>
  <si>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10.1.</t>
  </si>
  <si>
    <t>11.3.</t>
  </si>
  <si>
    <t>11.4.</t>
  </si>
  <si>
    <t>12.1.</t>
  </si>
  <si>
    <t>12.2.</t>
  </si>
  <si>
    <t>13.1.</t>
  </si>
  <si>
    <t>13.2.</t>
  </si>
  <si>
    <t>13.3.</t>
  </si>
  <si>
    <t>Külföldi finanszírozás bevételei (14.1.+…14.4.)</t>
  </si>
  <si>
    <t>10.2.</t>
  </si>
  <si>
    <t>10.3.</t>
  </si>
  <si>
    <t xml:space="preserve">    17.</t>
  </si>
  <si>
    <t>1.14.</t>
  </si>
  <si>
    <t>1.15.</t>
  </si>
  <si>
    <t xml:space="preserve">   - Garancia- és kezességvállalásból kifizetés ÁH-n belülre</t>
  </si>
  <si>
    <t xml:space="preserve">   -Visszatérítendő támogatások, kölcsönök nyújtása ÁH-n belülre</t>
  </si>
  <si>
    <t xml:space="preserve">   - Visszatérítendő támogatások, kölcsönök törlesztése ÁH-n belülre</t>
  </si>
  <si>
    <t xml:space="preserve">   - Egyéb működési célú támogatások ÁH-n belülre</t>
  </si>
  <si>
    <t xml:space="preserve">   - Garancia és kezességvállalásból kifizetés ÁH-n kívülre</t>
  </si>
  <si>
    <t xml:space="preserve">   - Visszatérítendő támogatások, kölcsönök nyújtása ÁH-n kívülre</t>
  </si>
  <si>
    <t xml:space="preserve">   - Árkiegészítések, ártámogatások</t>
  </si>
  <si>
    <t xml:space="preserve">   - Kamattámogatások</t>
  </si>
  <si>
    <t xml:space="preserve">   - Egyéb működési célú támogatások államháztartáson kívülre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</si>
  <si>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</si>
  <si>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2.11.</t>
  </si>
  <si>
    <t>2.12.</t>
  </si>
  <si>
    <t>2.13.</t>
  </si>
  <si>
    <t>2.1.-ből EU-s forrásból megvalósuló beruházás</t>
  </si>
  <si>
    <t>2.3.-ból EU-s forrásból megvalósuló felújítás</t>
  </si>
  <si>
    <t xml:space="preserve">   - Egyéb felhalmozási célú támogatások államháztartáson kívülre</t>
  </si>
  <si>
    <t xml:space="preserve">   - Lakástámogatás</t>
  </si>
  <si>
    <t xml:space="preserve">   - Garancia- és kezességvállalásból kifizetés ÁH-n kívülre</t>
  </si>
  <si>
    <t xml:space="preserve">   - Egyéb felhalmozási célú támogatások ÁH-n belülre</t>
  </si>
  <si>
    <t xml:space="preserve">   - Visszatérítendő támogatások, kölcsönök nyújtása ÁH-n belülre</t>
  </si>
  <si>
    <t>Államháztartáson belüli megelőlegezések folyósítása</t>
  </si>
  <si>
    <t>Államháztartáson belüli megelőlegezések visszafizetése</t>
  </si>
  <si>
    <t>KÖLTSÉGVETÉSI, FINANSZÍROZÁSI BEVÉTELEK ÉS KIADÁSOK EGYENLEGE</t>
  </si>
  <si>
    <t>Önkormányzatok működési támogatásai</t>
  </si>
  <si>
    <t>Működési célú támogatások államháztartáson belülről</t>
  </si>
  <si>
    <t>Működési célú átvett pénzeszközök</t>
  </si>
  <si>
    <t xml:space="preserve">   Likviditási célú hitelek, kölcsönök felvétele</t>
  </si>
  <si>
    <t xml:space="preserve">   Értékpapírok bevételei</t>
  </si>
  <si>
    <t>Hiány belső finanszírozásának bevételei (15.+…+18. )</t>
  </si>
  <si>
    <t xml:space="preserve">Hiány külső finanszírozásának bevételei (20.+…+21.) </t>
  </si>
  <si>
    <t>Likviditási célú hitelek törlesztése</t>
  </si>
  <si>
    <t>Költségvetési kiadások összesen (1.+...+12.)</t>
  </si>
  <si>
    <t>Felhalmozási célú támogatások államháztartáson belülről</t>
  </si>
  <si>
    <t>1.-ből EU-s támogatás</t>
  </si>
  <si>
    <t>Felhalmozási célú átvett pénzeszközök átvétele</t>
  </si>
  <si>
    <t>4.-ből EU-s támogatás (közvetlen)</t>
  </si>
  <si>
    <t>Egyéb felhalmozási célú bevételek</t>
  </si>
  <si>
    <t>Felhalmozási célú finanszírozási bevételek összesen (13.+19.)</t>
  </si>
  <si>
    <t>1.-ből EU-s forrásból megvalósuló beruházás</t>
  </si>
  <si>
    <t>3.-ból EU-s forrásból megvalósuló felújítás</t>
  </si>
  <si>
    <t>Pénzügyi lízing kiadásai</t>
  </si>
  <si>
    <t>Felhalmozási célú finanszírozási kiadások összesen
(13.+...+24.)</t>
  </si>
  <si>
    <t>BEVÉTEL ÖSSZESEN (12+25)</t>
  </si>
  <si>
    <t>KIADÁSOK ÖSSZESEN (12+25)</t>
  </si>
  <si>
    <t xml:space="preserve"> 10.</t>
  </si>
  <si>
    <t>2.-ból EU-s támogatás</t>
  </si>
  <si>
    <t>Költségvetési bevételek összesen: (1.+3.+4.+6.+…+11.)</t>
  </si>
  <si>
    <t>Költségvetési kiadások összesen: (1.+3.+5.+...+11.)</t>
  </si>
  <si>
    <t>Összes bevétel, kiadás</t>
  </si>
  <si>
    <t>Kiszámlázott általános forgalmi adó</t>
  </si>
  <si>
    <t>Általános forgalmi adó visszatérülése</t>
  </si>
  <si>
    <t>Működési célú támogatások államháztartáson belülről (2.1.+…+2.3.)</t>
  </si>
  <si>
    <t>Visszatérítendő támogatások, kölcsönök visszatérülése ÁH-n belülről</t>
  </si>
  <si>
    <t>Egyéb működési célú támogatások bevételei államháztartáson belülről</t>
  </si>
  <si>
    <t>Felhalmozási célú támogatások államháztartáson belülről (4.1.+4.2.)</t>
  </si>
  <si>
    <t>Egyéb felhalmozási célú támogatások bevételei államháztartáson belülről</t>
  </si>
  <si>
    <t>Felhalmozási bevételek (5.1.+…+5.3.)</t>
  </si>
  <si>
    <t>Felhalmozási célú átvett pénzeszközök</t>
  </si>
  <si>
    <t>Költségvetési bevételek összesen (1.+…+7.)</t>
  </si>
  <si>
    <t>Finanszírozási bevételek (9.1.+…+9.3.)</t>
  </si>
  <si>
    <t>9.1.</t>
  </si>
  <si>
    <t>9.2.</t>
  </si>
  <si>
    <t>9.3.</t>
  </si>
  <si>
    <t>Irányító szervi (önkormányzati) támogatás (intézményfinanszírozás)</t>
  </si>
  <si>
    <t>BEVÉTELEK ÖSSZESEN: (8.+9.)</t>
  </si>
  <si>
    <t>Működési költségvetés kiadásai (1.1+…+1.5.)</t>
  </si>
  <si>
    <t>Felhalmozási költségvetés kiadásai (2.1.+…+2.3.)</t>
  </si>
  <si>
    <t>Kötelező feladatok bevételei, kiadásai</t>
  </si>
  <si>
    <t>Önként vállalt feladatok bevételei, kiadásai</t>
  </si>
  <si>
    <t>Működési célú támogatások ÁH-on belül</t>
  </si>
  <si>
    <t>Felhalmozási célú támogatások ÁH-on belül</t>
  </si>
  <si>
    <t>Működési bevételek</t>
  </si>
  <si>
    <t xml:space="preserve">Működési célú visszatérítendő támogatások, kölcsönök visszatérülése </t>
  </si>
  <si>
    <t>Működési célú visszatérítendő támogatások, kölcsönök igénybevétele</t>
  </si>
  <si>
    <t>Felhalmozási célú visszatérítendő támogatások, kölcsönök visszatérülése</t>
  </si>
  <si>
    <t>Felhalmozási célú visszatérítendő támogatások, kölcsönök igénybevétele</t>
  </si>
  <si>
    <t>Működési célú visszatérítendő támogatások, kölcsönök visszatér. ÁH-n kívülről</t>
  </si>
  <si>
    <t>Felhalm. célú visszatérítendő támogatások, kölcsönök visszatér. ÁH-n kívülről</t>
  </si>
  <si>
    <t>2.5.-ből        - Garancia- és kezességvállalásból kifizetés ÁH-n belülre</t>
  </si>
  <si>
    <t>Kötelező feladatok bevételei, kiadása</t>
  </si>
  <si>
    <t>Önként vállalt feladatok bevételei, kiadása</t>
  </si>
  <si>
    <t>04</t>
  </si>
  <si>
    <t xml:space="preserve">Működési célú kvi támogatások és kiegészítő támogatások </t>
  </si>
  <si>
    <t>Elszámolásból származó bevételek</t>
  </si>
  <si>
    <t>Működési bevételek (5.1.+…+ 5.11.)</t>
  </si>
  <si>
    <t>5.11.</t>
  </si>
  <si>
    <t>Biztosító által fizetett kártérítés</t>
  </si>
  <si>
    <r>
      <t xml:space="preserve">   Működési költségvetés kiadásai </t>
    </r>
    <r>
      <rPr>
        <sz val="8"/>
        <rFont val="Times New Roman CE"/>
        <charset val="238"/>
      </rPr>
      <t>(1.1+…+1.5.+1.18.)</t>
    </r>
  </si>
  <si>
    <t>1.16.</t>
  </si>
  <si>
    <t>1.17.</t>
  </si>
  <si>
    <t xml:space="preserve">   - Elvonások és befizetések</t>
  </si>
  <si>
    <t xml:space="preserve">   - Törvényi előíráson alapuló befizetések</t>
  </si>
  <si>
    <t xml:space="preserve"> - az 1.5-ből: - Előző évi elszámolásból származó befizetések</t>
  </si>
  <si>
    <t>1.18.</t>
  </si>
  <si>
    <t>1.19.</t>
  </si>
  <si>
    <t>1.20.</t>
  </si>
  <si>
    <t xml:space="preserve"> - az 1.18-ból: - Általános tartalék</t>
  </si>
  <si>
    <t xml:space="preserve">   - Céltartalék</t>
  </si>
  <si>
    <t>KÖLTSÉGVETÉSI KIADÁSOK ÖSSZESEN (1+2)</t>
  </si>
  <si>
    <t>Hitel-, kölcsöntörlesztés államháztartáson kívülre (4.1. + … + 4.3.)</t>
  </si>
  <si>
    <t>Belföldi értékpapírok kiadásai (5.1. + … + 5.6.)</t>
  </si>
  <si>
    <t>Befektetési célú belföldi értékpapírok vásárlása</t>
  </si>
  <si>
    <t>Kincstárjegyek beváltása</t>
  </si>
  <si>
    <t>Éven belüli lejáratú belföldi értékpapírok beváltása</t>
  </si>
  <si>
    <t>Belföldi kötvények beváltása</t>
  </si>
  <si>
    <t>Éven túli lejáratú belföldi értékpapírok beváltása</t>
  </si>
  <si>
    <t>Hosszú lejáratú hitelek, kölcsönök törlesztése pénzügyi vállalkozásnak</t>
  </si>
  <si>
    <t>Likviditási célú hitelek, kölcsönök törlesztése pénzügyi vállalkozásnak</t>
  </si>
  <si>
    <t>Rövid lejáratú hitelek, kölcsönök törlesztése pénzügyi vállalkozásnak</t>
  </si>
  <si>
    <t>Forgatási célú belföldi értékpapírok vásárlása</t>
  </si>
  <si>
    <t>Forgatási célú külföldi értékpapírok vásárlása</t>
  </si>
  <si>
    <t xml:space="preserve">   Rövid lejáratú  hitelek, kölcsönök felvétele</t>
  </si>
  <si>
    <t>Külföldi értékpapírok beváltása</t>
  </si>
  <si>
    <t>Belföldi finanszírozás kiadásai (6.1. + … + 6.4.)</t>
  </si>
  <si>
    <t>Pénzeszközök lekötött betétként elhelyezése</t>
  </si>
  <si>
    <t>Külföldi finanszírozás kiadásai (7.1. + … + 7.5.)</t>
  </si>
  <si>
    <t>7.5.</t>
  </si>
  <si>
    <t>Befektetési célú külföldi értékpapírok vásárlása</t>
  </si>
  <si>
    <t>Hitelek, kölcsönök törlesztése külföldi kormányoknak nemz. Szervezeteknek</t>
  </si>
  <si>
    <t>Hitelek, kölcsönök törlesztése külföldi pénzintézeteknek</t>
  </si>
  <si>
    <t>Adóssághoz nem kapcsolódó származékos ügyletek</t>
  </si>
  <si>
    <t>Váltókiadások</t>
  </si>
  <si>
    <t>KIADÁSOK ÖSSZESEN: (3.+10.)</t>
  </si>
  <si>
    <t>FINANSZÍROZÁSI KIADÁSOK ÖSSZESEN: (4.+…+9.)</t>
  </si>
  <si>
    <t>Költségvetési hiány, többlet ( költségvetési bevételek 9. sor - költségvetési kiadások 3. sor) (+/-)</t>
  </si>
  <si>
    <t>Váltóbevételek</t>
  </si>
  <si>
    <t xml:space="preserve">   9.</t>
  </si>
  <si>
    <t xml:space="preserve">    18.</t>
  </si>
  <si>
    <t>FINANSZÍROZÁSI BEVÉTELEK ÖSSZESEN: (10. + … +16.)</t>
  </si>
  <si>
    <t>KÖLTSÉGVETÉSI ÉS FINANSZÍROZÁSI BEVÉTELEK ÖSSZESEN: (9+17)</t>
  </si>
  <si>
    <t>6.-ból EU-s támogatás (közvetlen)</t>
  </si>
  <si>
    <t>Költségvetési bevételek összesen (1.+2.+4.+5.+6.+8.+…+12.)</t>
  </si>
  <si>
    <t>Működési célú finanszírozási bevételek összesen (14.+19.+22.+23.)</t>
  </si>
  <si>
    <t>BEVÉTEL ÖSSZESEN (13.+24.)</t>
  </si>
  <si>
    <t>Működési célú finanszírozási kiadások összesen (14.+...+23.)</t>
  </si>
  <si>
    <t>KIADÁSOK ÖSSZESEN (13.+24.)</t>
  </si>
  <si>
    <t xml:space="preserve">2.1. számú melléklet C. oszlop 13. sor + 2.2. számú melléklet C. oszlop 12. sor </t>
  </si>
  <si>
    <t xml:space="preserve">2.1. számú melléklet C. oszlop 24. sor + 2.2. számú melléklet C. oszlop 25. sor </t>
  </si>
  <si>
    <t xml:space="preserve">2.1. számú melléklet C. oszlop 25. sor + 2.2. számú melléklet C. oszlop 26. sor </t>
  </si>
  <si>
    <t xml:space="preserve">2.1. számú melléklet E. oszlop 13. sor + 2.2. számú melléklet E. oszlop 12. sor </t>
  </si>
  <si>
    <t xml:space="preserve">2.1. számú melléklet E. oszlop 24. sor + 2.2. számú melléklet E. oszlop 25. sor </t>
  </si>
  <si>
    <t xml:space="preserve">2.1. számú melléklet E. oszlop 25. sor + 2.2. számú melléklet E. oszlop 26. sor </t>
  </si>
  <si>
    <t>A</t>
  </si>
  <si>
    <t>B</t>
  </si>
  <si>
    <t>C</t>
  </si>
  <si>
    <t>E</t>
  </si>
  <si>
    <t>D</t>
  </si>
  <si>
    <t>F</t>
  </si>
  <si>
    <t>G</t>
  </si>
  <si>
    <t>H</t>
  </si>
  <si>
    <t>Összesen
(F=C+D+E)</t>
  </si>
  <si>
    <t>Helyi adóból és a települési adóból származó bevétel</t>
  </si>
  <si>
    <t>Osztalék, koncessziós díj és hozambevétel</t>
  </si>
  <si>
    <t>Kezesség-, illetve garanciavállalással kapcsolatos megtérülés</t>
  </si>
  <si>
    <t>Működési célú kvi támogatások és kiegészítő támogatások</t>
  </si>
  <si>
    <t xml:space="preserve">   16.</t>
  </si>
  <si>
    <t xml:space="preserve">   17.</t>
  </si>
  <si>
    <t xml:space="preserve">   18.</t>
  </si>
  <si>
    <t>BEVÉTELEK ÖSSZESEN: (9+17)</t>
  </si>
  <si>
    <t xml:space="preserve"> az 1.5-ből: - Előző évi elszámolásból származó befizetések</t>
  </si>
  <si>
    <t xml:space="preserve"> az 1.18-ból: - Általános tartalék</t>
  </si>
  <si>
    <t xml:space="preserve">     - Céltartalék</t>
  </si>
  <si>
    <r>
      <t xml:space="preserve">   Működési költségvetés kiadásai </t>
    </r>
    <r>
      <rPr>
        <sz val="8"/>
        <rFont val="Times New Roman CE"/>
        <charset val="238"/>
      </rPr>
      <t>(1.1+…+1.5+1.18.)</t>
    </r>
  </si>
  <si>
    <t>Éven belüli lejáatú belföldi értékpapírok beváltása</t>
  </si>
  <si>
    <t>Rövid lejáratú hitelek, kölcsönök törlesztése</t>
  </si>
  <si>
    <t>Hosszú lejáratú hitelek, kölcsönök törlesztése</t>
  </si>
  <si>
    <t>Hitelek, kölcsönök törlesztése külföldi kormányoknak nemz. szervezeteknek</t>
  </si>
  <si>
    <t>Éves tervezett létszám előirányzat (fő)</t>
  </si>
  <si>
    <t>Működési bevételek (1.1.+…+1.11.)</t>
  </si>
  <si>
    <t xml:space="preserve">  2.3-ból EU támogatás</t>
  </si>
  <si>
    <t>Felhalmozási célú támogatások államháztartáson belülről (4.1.+…+4.3.)</t>
  </si>
  <si>
    <t xml:space="preserve">  4.3.-ból EU-s támogatás</t>
  </si>
  <si>
    <t xml:space="preserve"> 2.3.-ból EU-s támogatásból megvalósuló programok, projektek kiadása</t>
  </si>
  <si>
    <t xml:space="preserve">  2.3.-ból EU támogatás</t>
  </si>
  <si>
    <t xml:space="preserve">  4.2.-ből EU-s támogatás</t>
  </si>
  <si>
    <t>KÖLTSÉGVETÉSI BEVÉTELEK ÖSSZESEN (1.+…+7.)</t>
  </si>
  <si>
    <t xml:space="preserve">2. tájékoztató tábla  </t>
  </si>
  <si>
    <t>5. tájékoztató tábla</t>
  </si>
  <si>
    <t>Államigazgatási feladatok bevételei, kiadása</t>
  </si>
  <si>
    <t>KIADÁSOK ÖSSZESEN: (1.+2.+3.)</t>
  </si>
  <si>
    <t>Államigazgatási feladatok bevételei, kiadásai</t>
  </si>
  <si>
    <t>Önkormányzat működési támogatásai</t>
  </si>
  <si>
    <t xml:space="preserve">Felhalmozási célú átvett pénzeszközök </t>
  </si>
  <si>
    <t xml:space="preserve">Működési célú átvett pénzeszközök </t>
  </si>
  <si>
    <t xml:space="preserve">Működési bevételek </t>
  </si>
  <si>
    <t xml:space="preserve">FINANSZÍROZÁSI BEVÉTELEK ÖSSZESEN: </t>
  </si>
  <si>
    <t>KÖLTSÉGVETÉSI ÉS FINANSZÍROZÁSI BEVÉTELEK ÖSSZESEN: (9+10)</t>
  </si>
  <si>
    <t xml:space="preserve">   Működési költségvetés kiadásai </t>
  </si>
  <si>
    <t>FINANSZÍROZÁSI KIADÁSOK ÖSSZESEN:</t>
  </si>
  <si>
    <t>KIADÁSOK ÖSSZESEN: (3.+4.)</t>
  </si>
  <si>
    <t>Központi, irányító szervi támogatás</t>
  </si>
  <si>
    <t>Belföldi finanszírozás kiadásai (6.1. + … + 6.5.)</t>
  </si>
  <si>
    <t xml:space="preserve">   Felhalmozási költségvetés kiadásai (2.1.+2.2.+2.3.)</t>
  </si>
  <si>
    <t>Hitel-, kölcsönfelvétel államháztartáson kívülről  (10.1.+…+10.3.)</t>
  </si>
  <si>
    <t>1.1. sz. melléklet Bevételek táblázat C. oszlop 9 sora =</t>
  </si>
  <si>
    <t>1.1. sz. melléklet Bevételek táblázat C. oszlop 17 sora =</t>
  </si>
  <si>
    <t>1.1. sz. melléklet Bevételek táblázat C. oszlop 18 sora =</t>
  </si>
  <si>
    <t>1.1. sz. melléklet Kiadások táblázat C. oszlop 3 sora =</t>
  </si>
  <si>
    <t>1.1. sz. melléklet Kiadások táblázat C. oszlop 10 sora =</t>
  </si>
  <si>
    <t>1.1. sz. melléklet Kiadások táblázat C. oszlop 11 sora =</t>
  </si>
  <si>
    <t>Önkormányzatok szociális és gyermekjóléti, étkeztetési feladatainak támogatása</t>
  </si>
  <si>
    <t>Közhatalmi bevételek (4.1.+…+4.7.)</t>
  </si>
  <si>
    <t>4.5.</t>
  </si>
  <si>
    <t>4.6.</t>
  </si>
  <si>
    <t>4.7.</t>
  </si>
  <si>
    <t>Építményadó</t>
  </si>
  <si>
    <t>Idegenforgalmi adó</t>
  </si>
  <si>
    <t>Iparűzési adó</t>
  </si>
  <si>
    <t>Talajterhelési díj</t>
  </si>
  <si>
    <t>Kamatbevételek és más nyereségjellegű bevételek</t>
  </si>
  <si>
    <t>Közhatalmi bevételek (4.1.+...+4.7.)</t>
  </si>
  <si>
    <t>Kamatbevételek és más nyereség jellegű bevételek</t>
  </si>
  <si>
    <t>F=(B-D-E)</t>
  </si>
  <si>
    <t>Kiemelt előirányzat, előirányzat megnevezése</t>
  </si>
  <si>
    <t>Ibrány Város Önkormányzata adósságot keletkeztető ügyletekből és kezességvállalásokból fennálló kötelezettségei</t>
  </si>
  <si>
    <t>Ibrány Város Önkormányzata saját bevételeinek részletezése az adósságot keletkeztető ügyletből származó tárgyévi fizetési kötelezettség megállapításához</t>
  </si>
  <si>
    <t>Ibrány Város Önkormányzata</t>
  </si>
  <si>
    <t>Ibrányi Polgármesteri Hivatal</t>
  </si>
  <si>
    <t>Ibrányi László Művelődési Központ, Könyvtár és Sportcentrum</t>
  </si>
  <si>
    <t>Ibrány Városi Óvoda</t>
  </si>
  <si>
    <t>Gazdasági Műszaki Ellátó és Szolgáltató Szervezet</t>
  </si>
  <si>
    <t>Finanszírozási bevételek, kiadások egyenlege (finanszírozási bevételek 17. sor - finanszírozási kiadások 10. sor) (+/-)</t>
  </si>
  <si>
    <t>Finanszírozási bevételek, kiadások egyenlege (finanszírozási bevételek 17. sor - finanszírozási kiadások 10. sor)  (+/-)</t>
  </si>
  <si>
    <t>05</t>
  </si>
  <si>
    <t>Forintban !</t>
  </si>
  <si>
    <t>Forintban</t>
  </si>
  <si>
    <t>az a lakáscélú ingatlan, melyben orvosi rendelő működik (2 db)</t>
  </si>
  <si>
    <t>Polgárőrök 50 %-os kedvezménye</t>
  </si>
  <si>
    <t>Beépítetlen építési telek 50 %-os kevezménye (57 db)</t>
  </si>
  <si>
    <t>Ibrányi Polgárőr Egyesület</t>
  </si>
  <si>
    <t>Ibrányi Nyugdíjasok Egyesülete</t>
  </si>
  <si>
    <t>Ibrányi Rendőrőrs</t>
  </si>
  <si>
    <t>Működésének támogatása</t>
  </si>
  <si>
    <t>Önkéntes Tűzoltó Egyesület</t>
  </si>
  <si>
    <t>2014</t>
  </si>
  <si>
    <t>2015</t>
  </si>
  <si>
    <t xml:space="preserve">mezőőrök </t>
  </si>
  <si>
    <t>bözsi</t>
  </si>
  <si>
    <t>gyerekház</t>
  </si>
  <si>
    <t>közmunka</t>
  </si>
  <si>
    <t>iskola eü</t>
  </si>
  <si>
    <t>roma</t>
  </si>
  <si>
    <t>cssk</t>
  </si>
  <si>
    <t>IN</t>
  </si>
  <si>
    <t>kistérsé</t>
  </si>
  <si>
    <t>tűzoltóság</t>
  </si>
  <si>
    <t>ny</t>
  </si>
  <si>
    <t>polgár</t>
  </si>
  <si>
    <t>rendőrség</t>
  </si>
  <si>
    <t>pm</t>
  </si>
  <si>
    <t>kt</t>
  </si>
  <si>
    <t>kommunális</t>
  </si>
  <si>
    <t>bírság</t>
  </si>
  <si>
    <t>pótlék</t>
  </si>
  <si>
    <t>mezőőri</t>
  </si>
  <si>
    <t>mintagazd</t>
  </si>
  <si>
    <t>lakbér</t>
  </si>
  <si>
    <t>szolgáltatás</t>
  </si>
  <si>
    <t>bérleti díj</t>
  </si>
  <si>
    <t>busz</t>
  </si>
  <si>
    <t>vagyonkezelői díj</t>
  </si>
  <si>
    <t>iskola</t>
  </si>
  <si>
    <t>11744003-15732262</t>
  </si>
  <si>
    <t>30 napon túli elismert tartozásállomány összesen: 0 Ft</t>
  </si>
  <si>
    <t>Önkormányzati hivatal működésének támogatása</t>
  </si>
  <si>
    <t>Település-üzemeltetéshez kapcsolódó támogatás</t>
  </si>
  <si>
    <t>a) Zöldterület-gazdálkodással kapcsolatos feladatok ellátásának támogatása</t>
  </si>
  <si>
    <t>b) Közvilágítás fenntartásának támogatása</t>
  </si>
  <si>
    <t>c) köztemető fenntartásával kapcsolatos feladatok támogatása</t>
  </si>
  <si>
    <t>d) Közutak fenntartásáank támogatása</t>
  </si>
  <si>
    <t>Egyéb önkormányzati feladatok támogatása</t>
  </si>
  <si>
    <t>Lakott külterülettel kapcsolatos feladatok támogatása</t>
  </si>
  <si>
    <t>I. A helyi önkormányzatok működésének támogatása</t>
  </si>
  <si>
    <t>I.1.(1) 1 Pedagógusok bértámogatása</t>
  </si>
  <si>
    <t>I.1.(2) 1 Segítők bértámogatása</t>
  </si>
  <si>
    <t>I.1.(1) 2 Pedagógusok bértámogatása</t>
  </si>
  <si>
    <t>I.1.(2) 2 Segítők bértámogatása</t>
  </si>
  <si>
    <t>I.1.(4) 2 Pedagógusok bértámogatása</t>
  </si>
  <si>
    <t>II.2.(8) 1 Óvodaműködtetés 8 hó</t>
  </si>
  <si>
    <t>II.2.(8) 2 Óvodaműködtetés 4 hó</t>
  </si>
  <si>
    <t>II. 1. Óvodapedagógusok, és az óvodapedagógusok nevelő munkáját közvetlenül segítők bértámogatása</t>
  </si>
  <si>
    <t>II. 2. Óvodaműködtetés támogatása</t>
  </si>
  <si>
    <t>II. A települési önkomrányzatok egyes köznevelési feladatainak támogatása</t>
  </si>
  <si>
    <t>III. 2. A települési önkormányzatok szociális feladatainak egyéb támogatása</t>
  </si>
  <si>
    <t>III.3.a Család- és gyermekjóléti szolgálat</t>
  </si>
  <si>
    <t>III.3.a Család- és gyermekjóléti központ</t>
  </si>
  <si>
    <t>III.5.a. A finanszírozás szempontjából elismert dolgozók létszáma</t>
  </si>
  <si>
    <t>III.5.b Gyermekétkeztetés üzemeltetési támogatása</t>
  </si>
  <si>
    <t>III.5.c A rászoruló gyermekiek intézményen kívüli szünidei étkeztetésének támogatása</t>
  </si>
  <si>
    <t>III. A települési önkormányzatok szocilális, gyermekjóléti és gyermekétkezetési feladatinak támogatása</t>
  </si>
  <si>
    <t>IV.1.d Könyvtári, közművelődési és múzeumi feladatok támogatása, Települési önkormányzatok nyilvános könyvtári és a közművelődési feladatainak támogatása</t>
  </si>
  <si>
    <t>Ingatlan vásárlás</t>
  </si>
  <si>
    <t>Gyalogos átkelőhely létesítés általános iskolánál</t>
  </si>
  <si>
    <t>Tervek készítése</t>
  </si>
  <si>
    <t xml:space="preserve"> Forintban !</t>
  </si>
  <si>
    <t>2017. évi előirányzat BEVÉTELEK</t>
  </si>
  <si>
    <t>Az önkormányzat által adott közvetett támogatások 2017. évben
(kedvezmények)</t>
  </si>
  <si>
    <t>I.1. jogcímekhez kapcsolódó kiegészítés</t>
  </si>
  <si>
    <t>II. 4. a (1) Alapfokú végzettségű pedagógus II. kategóraiába sorolt  óvodapedagógusok kieg. tám., akik a minősítést 2015. 12. 31-ig szerezték meg</t>
  </si>
  <si>
    <t>Ibrány Város és Térsége Gyermekjóléti Szolgálat és Családsegítő Szolgálat</t>
  </si>
  <si>
    <t>06</t>
  </si>
  <si>
    <t>a) 65. életéveét betöltött egyedül élő nőnek, férfinak, a korhatár elérését követő évtől (334 fő)</t>
  </si>
  <si>
    <t>b) 70. életévüket(mindketten) betöltött házaspárnak, a korhatár elérését követő évtől (195 fő)</t>
  </si>
  <si>
    <t>Aki saját háztartásában 3, vagy több kikorú gyermek eltartásáról gondoskodik (148 fő)</t>
  </si>
  <si>
    <t>Alapítvány</t>
  </si>
  <si>
    <t>jövedéki</t>
  </si>
  <si>
    <t>Kult.pótlék</t>
  </si>
  <si>
    <t>szoc. Ágazat</t>
  </si>
  <si>
    <t>bérkomp</t>
  </si>
  <si>
    <t>sport</t>
  </si>
  <si>
    <t>hiány</t>
  </si>
  <si>
    <t>2017</t>
  </si>
  <si>
    <t>Vizesblokk kialakítása sportpályán</t>
  </si>
  <si>
    <t>Uszodánál kutak eltömedékelése</t>
  </si>
  <si>
    <t>Kertváros járdaépítés folytatása</t>
  </si>
  <si>
    <t>Tiszapart helyreállítási munkák végzése</t>
  </si>
  <si>
    <t>Nagyértékű gépek beszerzése közmunka</t>
  </si>
  <si>
    <t>Fűtési rendszer kialakítása fóliasátor</t>
  </si>
  <si>
    <t>Pályázatban nagyétrékű eszközök beszerzése</t>
  </si>
  <si>
    <t>- ebből: Környezetvédelmi programhoz kapcsolódó kiadások összege</t>
  </si>
  <si>
    <t>Lejárata</t>
  </si>
  <si>
    <t>I</t>
  </si>
  <si>
    <t>J=(E+F+G+H+I)</t>
  </si>
  <si>
    <t>2029</t>
  </si>
  <si>
    <t>2030</t>
  </si>
  <si>
    <t>2021</t>
  </si>
  <si>
    <t>2032</t>
  </si>
  <si>
    <t>Ibrányi 2085/1 hrsz</t>
  </si>
  <si>
    <t>Ibrányi 1555 hrsz</t>
  </si>
  <si>
    <t>Ibrányi 1122/1 és 1122/2 hrsz</t>
  </si>
  <si>
    <t>Ibrányi 0127/9 hrsz</t>
  </si>
  <si>
    <t>Ibrányi 1325/3 hrsz</t>
  </si>
  <si>
    <t>Ibrányi 0127/30 hrsz</t>
  </si>
  <si>
    <t>Ibrányi 1326/4/A/1 hrsz</t>
  </si>
  <si>
    <t>Ibrányi 2162 hrsz</t>
  </si>
  <si>
    <t>Ibrányi 193/1 hrsz</t>
  </si>
  <si>
    <t>Ibrányi 2074/2 hrsz</t>
  </si>
  <si>
    <t>Ibrányi 0282/7 hrsz</t>
  </si>
  <si>
    <t>Ibrányi 1073 hrsz</t>
  </si>
  <si>
    <t>Ibrányi 720/1 hrsz</t>
  </si>
  <si>
    <t>Ibrányi 0127/21 és 0127/24 hrsz</t>
  </si>
  <si>
    <t>Ibrányi 2071 hrsz</t>
  </si>
  <si>
    <t>Összesen (1+4+12+14)</t>
  </si>
  <si>
    <t>MFB hitelszerződés 1-2-14-4400-0425-3 tőke</t>
  </si>
  <si>
    <t>MFB hitelszerződés 1-2-14-4400-0423-1 tőke</t>
  </si>
  <si>
    <t>MFB hitelszerződés 1-2-14-4400-0423-1 kamat</t>
  </si>
  <si>
    <t>MFB hitelszerződés 1-2-14-4400-0425-3 kamat</t>
  </si>
  <si>
    <t>1314/3. hrsz-ú ingatlan vásárlás tőke</t>
  </si>
  <si>
    <t>1314/3. hrsz-ú ingatlan vásárlás kamat</t>
  </si>
  <si>
    <t>Lízingszerződés autóvásárláshoz kapcsolódóan - tőke</t>
  </si>
  <si>
    <t>Lízingszerződés autóvásárláshoz kapcsolódóan - kamat</t>
  </si>
  <si>
    <t>TOP-5.1.2-15-SB1-2016-00008 Helyi foglalkoztatási együttműködések Ibrány Város Önkormányzatának vezetésével</t>
  </si>
  <si>
    <t>Felvett, átvállalt hitel, annk tőketartozása és kamata</t>
  </si>
  <si>
    <t>Pénzügyi lízing tőketartozása és kamata</t>
  </si>
  <si>
    <t>Ingatlanvásárlás I. (hrsz: 2085/1)</t>
  </si>
  <si>
    <t>Ingatlanvásárlás II. (hrsz: 2162; 193/1; 2125)</t>
  </si>
  <si>
    <t>Ingatlanvásárlás III. (hrsz: 2071; 0282/7; 1073)</t>
  </si>
  <si>
    <t>Éves eredeti kiadási előirányzat: 1 192 608 ezer Ft</t>
  </si>
  <si>
    <t>Ingatlanvásárlás I. (ibrányi 2085/1 hrsz-ú ingatlan megvásárlása bérlakás biztosítása céljából)</t>
  </si>
  <si>
    <t>Ingatlanvásárlás III. (ibrányi 2071, 0282/7 és 1073 hrsz-ú lakóingatlanok megvásárlása a helyi gazdaságszervezéssel összefüggésben)</t>
  </si>
  <si>
    <t>Ingatlanvásárlás II. (ibrányi 2162, 193/1 és 2125 hrsz-ú ingatlanok megvásárlása a helyi ifjúság helyben maradásának elősegítése érdekében)</t>
  </si>
  <si>
    <t>Ibrányi Sportegyesületek - Sport Bizottság hatáskörébe utalt támogatások</t>
  </si>
  <si>
    <t>Ibrányi 273/8 hrsz</t>
  </si>
  <si>
    <t>Ibrányi 013/6 hrsz</t>
  </si>
  <si>
    <t>Ibrányi 0276/31 hrsz</t>
  </si>
  <si>
    <t>Ibrányi 2784 hrsz</t>
  </si>
  <si>
    <t>Ibrányi 972/1 hrsz</t>
  </si>
  <si>
    <t>Ibrányi 2654</t>
  </si>
  <si>
    <t>Ibrányi 1333-1339 hrsz részingatlan</t>
  </si>
  <si>
    <t>Egyéb felújítások</t>
  </si>
  <si>
    <t>Egyéb ingatlan vásárlás</t>
  </si>
  <si>
    <t>TOP-os pályázatokban megvalósuló beruházás</t>
  </si>
  <si>
    <t>Váci Mihály Társaság Kulturális Egyesület</t>
  </si>
  <si>
    <t>"Lókötök" Lovas, Szabadidő és Sportegyesület</t>
  </si>
  <si>
    <t>Ibrányi 0175/25-28 hrsz</t>
  </si>
  <si>
    <t>Ibrányi 0127/10 hrsz</t>
  </si>
  <si>
    <t>Ibrányi 273/10 hrsz</t>
  </si>
  <si>
    <t>Ibrányi 603/1 hrsz</t>
  </si>
  <si>
    <t>Egyéb támogatások</t>
  </si>
  <si>
    <t>A 2016. évről áthúzódó bérkompenzáció támogatása</t>
  </si>
  <si>
    <t>Petőfi utca felújítása</t>
  </si>
  <si>
    <t>Ibrányi 0276/47 hrsz</t>
  </si>
  <si>
    <t>Ibrányi 0127/4 hrsz</t>
  </si>
  <si>
    <t>Ibrányi 0175/24 hrsz</t>
  </si>
  <si>
    <t>Ibrányi 348/1 hrsz</t>
  </si>
  <si>
    <t>TOP-os pályázatban felújítás</t>
  </si>
  <si>
    <t>TOP-1.1.1-15-SB-2016-00014 Az Északi és déli Iparterület fejlesztése Ibrányban</t>
  </si>
  <si>
    <t>TOP-1.2.1-15-SB1-2016-00016 A Rétköz turisztikai kínálatának integrált fejlesztése</t>
  </si>
  <si>
    <t>KÖFOP-1.2.1-VEKOP-16-2017-01219 Ibrány Város Önkormányzata ASP központhoz való csatlakozása</t>
  </si>
  <si>
    <t>TOP-2.1.3-15-SB1-2016-00039 "Ibrány" belterület védelmét szolgáló vízelvezető hálózat fejlesztése</t>
  </si>
  <si>
    <t>TOP-3.1.1-15-SB1-201600033 Munkába járást segítő kerékpárút építése ibrány Városban</t>
  </si>
  <si>
    <t>TOP-5.2.1-15-SB1-2016-00004 A társadalmi együttműködés erősítését szolgáló helyi szintű komplex programok megvalósítása Ibrányban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</si>
</sst>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F_t_-;\-* #,##0.00\ _F_t_-;_-* &quot;-&quot;??\ _F_t_-;_-@_-"/>
    <numFmt numFmtId="164" formatCode="#,###"/>
    <numFmt numFmtId="165" formatCode="_-* #,##0\ _F_t_-;\-* #,##0\ _F_t_-;_-* &quot;-&quot;??\ _F_t_-;_-@_-"/>
    <numFmt numFmtId="166" formatCode="0&quot;.&quot;"/>
  </numFmts>
  <fonts count="51" x14ac:knownFonts="1">
    <font>
      <sz val="10"/>
      <name val="Times New Roman CE"/>
      <charset val="238"/>
    </font>
    <font>
      <sz val="10"/>
      <name val="Times New Roman CE"/>
      <charset val="238"/>
    </font>
    <font>
      <sz val="11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9"/>
      <name val="Times New Roman CE"/>
      <family val="1"/>
      <charset val="238"/>
    </font>
    <font>
      <i/>
      <sz val="10"/>
      <name val="Times New Roman CE"/>
      <family val="1"/>
      <charset val="238"/>
    </font>
    <font>
      <i/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sz val="12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0"/>
      <name val="Times New Roman CE"/>
      <family val="1"/>
      <charset val="238"/>
    </font>
    <font>
      <b/>
      <sz val="12"/>
      <name val="Times New Roman"/>
      <family val="1"/>
      <charset val="238"/>
    </font>
    <font>
      <sz val="10"/>
      <name val="Times New Roman CE"/>
      <charset val="238"/>
    </font>
    <font>
      <i/>
      <sz val="10"/>
      <name val="Times New Roman CE"/>
      <charset val="238"/>
    </font>
    <font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b/>
      <i/>
      <sz val="9"/>
      <name val="Times New Roman CE"/>
      <family val="1"/>
      <charset val="238"/>
    </font>
    <font>
      <sz val="8"/>
      <name val="Times New Roman CE"/>
      <family val="1"/>
      <charset val="238"/>
    </font>
    <font>
      <b/>
      <i/>
      <sz val="8"/>
      <name val="Times New Roman CE"/>
      <family val="1"/>
      <charset val="238"/>
    </font>
    <font>
      <b/>
      <sz val="12"/>
      <name val="Times New Roman CE"/>
      <charset val="238"/>
    </font>
    <font>
      <b/>
      <sz val="12"/>
      <color indexed="10"/>
      <name val="Times New Roman CE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charset val="238"/>
    </font>
    <font>
      <b/>
      <i/>
      <sz val="10"/>
      <name val="Times New Roman CE"/>
      <charset val="238"/>
    </font>
    <font>
      <i/>
      <sz val="8"/>
      <name val="Times New Roman CE"/>
      <charset val="238"/>
    </font>
    <font>
      <b/>
      <sz val="8"/>
      <name val="Times New Roman"/>
      <family val="1"/>
    </font>
    <font>
      <b/>
      <sz val="11"/>
      <name val="Times New Roman CE"/>
      <charset val="238"/>
    </font>
    <font>
      <b/>
      <i/>
      <sz val="9"/>
      <name val="Times New Roman CE"/>
      <charset val="238"/>
    </font>
    <font>
      <b/>
      <sz val="14"/>
      <name val="Times New Roman CE"/>
      <charset val="238"/>
    </font>
    <font>
      <sz val="9"/>
      <name val="Times New Roman CE"/>
      <charset val="238"/>
    </font>
    <font>
      <b/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 CE"/>
      <charset val="238"/>
    </font>
    <font>
      <sz val="9"/>
      <color indexed="17"/>
      <name val="Times New Roman CE"/>
      <charset val="238"/>
    </font>
    <font>
      <sz val="10"/>
      <color indexed="17"/>
      <name val="Times New Roman CE"/>
      <charset val="238"/>
    </font>
    <font>
      <b/>
      <sz val="10"/>
      <name val="Times New Roman"/>
      <family val="1"/>
      <charset val="238"/>
    </font>
    <font>
      <sz val="10"/>
      <name val="Times New Roman CE"/>
      <charset val="238"/>
    </font>
    <font>
      <i/>
      <sz val="8"/>
      <name val="Times New Roman"/>
      <family val="1"/>
      <charset val="238"/>
    </font>
    <font>
      <b/>
      <u/>
      <sz val="8"/>
      <name val="Times New Roman"/>
      <family val="1"/>
      <charset val="238"/>
    </font>
    <font>
      <b/>
      <sz val="14"/>
      <color rgb="FFFF0000"/>
      <name val="Times New Roman CE"/>
      <charset val="238"/>
    </font>
  </fonts>
  <fills count="4">
    <fill>
      <patternFill patternType="none"/>
    </fill>
    <fill>
      <patternFill patternType="gray125"/>
    </fill>
    <fill>
      <patternFill patternType="lightHorizontal"/>
    </fill>
    <fill>
      <patternFill patternType="darkHorizontal"/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1" fillId="0" borderId="0"/>
  </cellStyleXfs>
  <cellXfs count="726">
    <xf numFmtId="0" fontId="0" fillId="0" borderId="0" xfId="0"/>
    <xf numFmtId="0" fontId="15" fillId="0" borderId="0" xfId="4" applyFont="1" applyFill="1"/>
    <xf numFmtId="164" fontId="3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6" fillId="0" borderId="0" xfId="0" applyFont="1" applyFill="1" applyAlignment="1">
      <alignment horizontal="right"/>
    </xf>
    <xf numFmtId="0" fontId="7" fillId="0" borderId="0" xfId="4" applyFont="1" applyFill="1" applyBorder="1" applyAlignment="1" applyProtection="1">
      <alignment horizontal="center" vertical="center" wrapText="1"/>
    </xf>
    <xf numFmtId="0" fontId="7" fillId="0" borderId="0" xfId="4" applyFont="1" applyFill="1" applyBorder="1" applyAlignment="1" applyProtection="1">
      <alignment vertical="center" wrapText="1"/>
    </xf>
    <xf numFmtId="0" fontId="22" fillId="0" borderId="1" xfId="4" applyFont="1" applyFill="1" applyBorder="1" applyAlignment="1" applyProtection="1">
      <alignment horizontal="left" vertical="center" wrapText="1" indent="1"/>
    </xf>
    <xf numFmtId="0" fontId="22" fillId="0" borderId="2" xfId="4" applyFont="1" applyFill="1" applyBorder="1" applyAlignment="1" applyProtection="1">
      <alignment horizontal="left" vertical="center" wrapText="1" indent="1"/>
    </xf>
    <xf numFmtId="0" fontId="22" fillId="0" borderId="3" xfId="4" applyFont="1" applyFill="1" applyBorder="1" applyAlignment="1" applyProtection="1">
      <alignment horizontal="left" vertical="center" wrapText="1" indent="1"/>
    </xf>
    <xf numFmtId="0" fontId="22" fillId="0" borderId="4" xfId="4" applyFont="1" applyFill="1" applyBorder="1" applyAlignment="1" applyProtection="1">
      <alignment horizontal="left" vertical="center" wrapText="1" indent="1"/>
    </xf>
    <xf numFmtId="0" fontId="22" fillId="0" borderId="5" xfId="4" applyFont="1" applyFill="1" applyBorder="1" applyAlignment="1" applyProtection="1">
      <alignment horizontal="left" vertical="center" wrapText="1" indent="1"/>
    </xf>
    <xf numFmtId="0" fontId="22" fillId="0" borderId="6" xfId="4" applyFont="1" applyFill="1" applyBorder="1" applyAlignment="1" applyProtection="1">
      <alignment horizontal="left" vertical="center" wrapText="1" indent="1"/>
    </xf>
    <xf numFmtId="49" fontId="22" fillId="0" borderId="7" xfId="4" applyNumberFormat="1" applyFont="1" applyFill="1" applyBorder="1" applyAlignment="1" applyProtection="1">
      <alignment horizontal="left" vertical="center" wrapText="1" indent="1"/>
    </xf>
    <xf numFmtId="49" fontId="22" fillId="0" borderId="8" xfId="4" applyNumberFormat="1" applyFont="1" applyFill="1" applyBorder="1" applyAlignment="1" applyProtection="1">
      <alignment horizontal="left" vertical="center" wrapText="1" indent="1"/>
    </xf>
    <xf numFmtId="49" fontId="22" fillId="0" borderId="9" xfId="4" applyNumberFormat="1" applyFont="1" applyFill="1" applyBorder="1" applyAlignment="1" applyProtection="1">
      <alignment horizontal="left" vertical="center" wrapText="1" indent="1"/>
    </xf>
    <xf numFmtId="49" fontId="22" fillId="0" borderId="10" xfId="4" applyNumberFormat="1" applyFont="1" applyFill="1" applyBorder="1" applyAlignment="1" applyProtection="1">
      <alignment horizontal="left" vertical="center" wrapText="1" indent="1"/>
    </xf>
    <xf numFmtId="49" fontId="22" fillId="0" borderId="11" xfId="4" applyNumberFormat="1" applyFont="1" applyFill="1" applyBorder="1" applyAlignment="1" applyProtection="1">
      <alignment horizontal="left" vertical="center" wrapText="1" indent="1"/>
    </xf>
    <xf numFmtId="49" fontId="22" fillId="0" borderId="12" xfId="4" applyNumberFormat="1" applyFont="1" applyFill="1" applyBorder="1" applyAlignment="1" applyProtection="1">
      <alignment horizontal="left" vertical="center" wrapText="1" indent="1"/>
    </xf>
    <xf numFmtId="0" fontId="22" fillId="0" borderId="0" xfId="4" applyFont="1" applyFill="1" applyBorder="1" applyAlignment="1" applyProtection="1">
      <alignment horizontal="left" vertical="center" wrapText="1" indent="1"/>
    </xf>
    <xf numFmtId="0" fontId="20" fillId="0" borderId="13" xfId="4" applyFont="1" applyFill="1" applyBorder="1" applyAlignment="1" applyProtection="1">
      <alignment horizontal="left" vertical="center" wrapText="1" indent="1"/>
    </xf>
    <xf numFmtId="0" fontId="20" fillId="0" borderId="14" xfId="4" applyFont="1" applyFill="1" applyBorder="1" applyAlignment="1" applyProtection="1">
      <alignment horizontal="left" vertical="center" wrapText="1" indent="1"/>
    </xf>
    <xf numFmtId="0" fontId="20" fillId="0" borderId="15" xfId="4" applyFont="1" applyFill="1" applyBorder="1" applyAlignment="1" applyProtection="1">
      <alignment horizontal="left" vertical="center" wrapText="1" indent="1"/>
    </xf>
    <xf numFmtId="0" fontId="8" fillId="0" borderId="13" xfId="4" applyFont="1" applyFill="1" applyBorder="1" applyAlignment="1" applyProtection="1">
      <alignment horizontal="center" vertical="center" wrapText="1"/>
    </xf>
    <xf numFmtId="0" fontId="8" fillId="0" borderId="14" xfId="4" applyFont="1" applyFill="1" applyBorder="1" applyAlignment="1" applyProtection="1">
      <alignment horizontal="center" vertical="center" wrapText="1"/>
    </xf>
    <xf numFmtId="164" fontId="22" fillId="0" borderId="16" xfId="0" applyNumberFormat="1" applyFont="1" applyFill="1" applyBorder="1" applyAlignment="1" applyProtection="1">
      <alignment vertical="center" wrapText="1"/>
      <protection locked="0"/>
    </xf>
    <xf numFmtId="164" fontId="22" fillId="0" borderId="17" xfId="0" applyNumberFormat="1" applyFont="1" applyFill="1" applyBorder="1" applyAlignment="1" applyProtection="1">
      <alignment vertical="center" wrapText="1"/>
      <protection locked="0"/>
    </xf>
    <xf numFmtId="164" fontId="22" fillId="0" borderId="18" xfId="0" applyNumberFormat="1" applyFont="1" applyFill="1" applyBorder="1" applyAlignment="1" applyProtection="1">
      <alignment vertical="center" wrapText="1"/>
      <protection locked="0"/>
    </xf>
    <xf numFmtId="164" fontId="22" fillId="0" borderId="2" xfId="0" applyNumberFormat="1" applyFont="1" applyFill="1" applyBorder="1" applyAlignment="1" applyProtection="1">
      <alignment vertical="center" wrapText="1"/>
      <protection locked="0"/>
    </xf>
    <xf numFmtId="164" fontId="22" fillId="0" borderId="6" xfId="0" applyNumberFormat="1" applyFont="1" applyFill="1" applyBorder="1" applyAlignment="1" applyProtection="1">
      <alignment vertical="center" wrapText="1"/>
      <protection locked="0"/>
    </xf>
    <xf numFmtId="0" fontId="20" fillId="0" borderId="14" xfId="4" applyFont="1" applyFill="1" applyBorder="1" applyAlignment="1" applyProtection="1">
      <alignment vertical="center" wrapText="1"/>
    </xf>
    <xf numFmtId="0" fontId="20" fillId="0" borderId="19" xfId="4" applyFont="1" applyFill="1" applyBorder="1" applyAlignment="1" applyProtection="1">
      <alignment vertical="center" wrapText="1"/>
    </xf>
    <xf numFmtId="3" fontId="30" fillId="0" borderId="20" xfId="0" applyNumberFormat="1" applyFont="1" applyBorder="1" applyAlignment="1" applyProtection="1">
      <alignment horizontal="right" vertical="center" indent="1"/>
      <protection locked="0"/>
    </xf>
    <xf numFmtId="0" fontId="30" fillId="0" borderId="2" xfId="0" applyFont="1" applyBorder="1" applyAlignment="1" applyProtection="1">
      <alignment horizontal="left" vertical="center" indent="1"/>
      <protection locked="0"/>
    </xf>
    <xf numFmtId="3" fontId="30" fillId="0" borderId="16" xfId="0" applyNumberFormat="1" applyFont="1" applyBorder="1" applyAlignment="1" applyProtection="1">
      <alignment horizontal="right" vertical="center" indent="1"/>
      <protection locked="0"/>
    </xf>
    <xf numFmtId="0" fontId="30" fillId="0" borderId="6" xfId="0" applyFont="1" applyBorder="1" applyAlignment="1" applyProtection="1">
      <alignment horizontal="left" vertical="center" indent="1"/>
      <protection locked="0"/>
    </xf>
    <xf numFmtId="0" fontId="20" fillId="0" borderId="13" xfId="4" applyFont="1" applyFill="1" applyBorder="1" applyAlignment="1" applyProtection="1">
      <alignment horizontal="center" vertical="center" wrapText="1"/>
    </xf>
    <xf numFmtId="0" fontId="20" fillId="0" borderId="14" xfId="4" applyFont="1" applyFill="1" applyBorder="1" applyAlignment="1" applyProtection="1">
      <alignment horizontal="center" vertical="center" wrapText="1"/>
    </xf>
    <xf numFmtId="0" fontId="20" fillId="0" borderId="21" xfId="4" applyFont="1" applyFill="1" applyBorder="1" applyAlignment="1" applyProtection="1">
      <alignment horizontal="center" vertical="center" wrapText="1"/>
    </xf>
    <xf numFmtId="0" fontId="26" fillId="0" borderId="13" xfId="0" applyFont="1" applyFill="1" applyBorder="1" applyAlignment="1" applyProtection="1">
      <alignment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8" fillId="0" borderId="14" xfId="5" applyFont="1" applyFill="1" applyBorder="1" applyAlignment="1" applyProtection="1">
      <alignment horizontal="left" vertical="center" indent="1"/>
    </xf>
    <xf numFmtId="0" fontId="12" fillId="0" borderId="0" xfId="4" applyFill="1"/>
    <xf numFmtId="0" fontId="8" fillId="0" borderId="21" xfId="4" applyFont="1" applyFill="1" applyBorder="1" applyAlignment="1" applyProtection="1">
      <alignment horizontal="center" vertical="center" wrapText="1"/>
    </xf>
    <xf numFmtId="0" fontId="22" fillId="0" borderId="0" xfId="4" applyFont="1" applyFill="1"/>
    <xf numFmtId="0" fontId="25" fillId="0" borderId="0" xfId="4" applyFont="1" applyFill="1"/>
    <xf numFmtId="164" fontId="0" fillId="0" borderId="0" xfId="0" applyNumberFormat="1" applyFill="1" applyAlignment="1">
      <alignment vertical="center" wrapText="1"/>
    </xf>
    <xf numFmtId="164" fontId="0" fillId="0" borderId="0" xfId="0" applyNumberFormat="1" applyFill="1" applyAlignment="1">
      <alignment horizontal="center" vertical="center" wrapText="1"/>
    </xf>
    <xf numFmtId="164" fontId="6" fillId="0" borderId="0" xfId="0" applyNumberFormat="1" applyFont="1" applyFill="1" applyAlignment="1">
      <alignment horizontal="right" vertical="center"/>
    </xf>
    <xf numFmtId="164" fontId="4" fillId="0" borderId="0" xfId="0" applyNumberFormat="1" applyFont="1" applyFill="1" applyAlignment="1">
      <alignment horizontal="center" vertical="center" wrapText="1"/>
    </xf>
    <xf numFmtId="164" fontId="22" fillId="0" borderId="8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/>
    <xf numFmtId="0" fontId="0" fillId="0" borderId="0" xfId="0" applyFill="1" applyAlignment="1"/>
    <xf numFmtId="0" fontId="18" fillId="0" borderId="0" xfId="0" applyFont="1" applyFill="1" applyAlignment="1">
      <alignment vertical="center"/>
    </xf>
    <xf numFmtId="164" fontId="28" fillId="0" borderId="21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Alignment="1" applyProtection="1">
      <alignment vertical="center"/>
    </xf>
    <xf numFmtId="164" fontId="6" fillId="0" borderId="0" xfId="0" applyNumberFormat="1" applyFont="1" applyFill="1" applyAlignment="1" applyProtection="1">
      <alignment horizontal="right" wrapText="1"/>
    </xf>
    <xf numFmtId="164" fontId="8" fillId="0" borderId="21" xfId="0" applyNumberFormat="1" applyFont="1" applyFill="1" applyBorder="1" applyAlignment="1" applyProtection="1">
      <alignment horizontal="center" vertical="center" wrapText="1"/>
    </xf>
    <xf numFmtId="164" fontId="20" fillId="0" borderId="22" xfId="0" applyNumberFormat="1" applyFont="1" applyFill="1" applyBorder="1" applyAlignment="1" applyProtection="1">
      <alignment horizontal="center" vertical="center" wrapText="1"/>
    </xf>
    <xf numFmtId="164" fontId="20" fillId="0" borderId="23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Fill="1" applyAlignment="1" applyProtection="1">
      <alignment vertical="center" wrapText="1"/>
    </xf>
    <xf numFmtId="164" fontId="22" fillId="0" borderId="16" xfId="0" applyNumberFormat="1" applyFont="1" applyFill="1" applyBorder="1" applyAlignment="1" applyProtection="1">
      <alignment vertical="center" wrapText="1"/>
    </xf>
    <xf numFmtId="164" fontId="22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18" xfId="0" applyNumberFormat="1" applyFont="1" applyFill="1" applyBorder="1" applyAlignment="1" applyProtection="1">
      <alignment vertical="center" wrapText="1"/>
    </xf>
    <xf numFmtId="164" fontId="20" fillId="0" borderId="14" xfId="0" applyNumberFormat="1" applyFont="1" applyFill="1" applyBorder="1" applyAlignment="1" applyProtection="1">
      <alignment vertical="center" wrapText="1"/>
    </xf>
    <xf numFmtId="164" fontId="20" fillId="0" borderId="21" xfId="0" applyNumberFormat="1" applyFont="1" applyFill="1" applyBorder="1" applyAlignment="1" applyProtection="1">
      <alignment vertical="center" wrapText="1"/>
    </xf>
    <xf numFmtId="164" fontId="4" fillId="0" borderId="0" xfId="0" applyNumberFormat="1" applyFont="1" applyFill="1" applyAlignment="1">
      <alignment vertical="center" wrapText="1"/>
    </xf>
    <xf numFmtId="164" fontId="19" fillId="0" borderId="8" xfId="0" applyNumberFormat="1" applyFont="1" applyFill="1" applyBorder="1" applyAlignment="1" applyProtection="1">
      <alignment horizontal="left" vertical="center" wrapText="1" indent="1"/>
      <protection locked="0"/>
    </xf>
    <xf numFmtId="164" fontId="19" fillId="0" borderId="2" xfId="0" applyNumberFormat="1" applyFont="1" applyFill="1" applyBorder="1" applyAlignment="1" applyProtection="1">
      <alignment vertical="center" wrapText="1"/>
      <protection locked="0"/>
    </xf>
    <xf numFmtId="164" fontId="19" fillId="0" borderId="16" xfId="0" applyNumberFormat="1" applyFont="1" applyFill="1" applyBorder="1" applyAlignment="1" applyProtection="1">
      <alignment vertical="center" wrapText="1"/>
    </xf>
    <xf numFmtId="164" fontId="19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164" fontId="19" fillId="0" borderId="6" xfId="0" applyNumberFormat="1" applyFont="1" applyFill="1" applyBorder="1" applyAlignment="1" applyProtection="1">
      <alignment vertical="center" wrapText="1"/>
      <protection locked="0"/>
    </xf>
    <xf numFmtId="164" fontId="19" fillId="0" borderId="18" xfId="0" applyNumberFormat="1" applyFont="1" applyFill="1" applyBorder="1" applyAlignment="1" applyProtection="1">
      <alignment vertical="center" wrapText="1"/>
    </xf>
    <xf numFmtId="164" fontId="8" fillId="0" borderId="21" xfId="0" applyNumberFormat="1" applyFont="1" applyFill="1" applyBorder="1" applyAlignment="1" applyProtection="1">
      <alignment vertical="center" wrapText="1"/>
    </xf>
    <xf numFmtId="0" fontId="7" fillId="0" borderId="0" xfId="0" applyFont="1" applyFill="1" applyAlignment="1">
      <alignment horizontal="center" vertical="center" wrapText="1"/>
    </xf>
    <xf numFmtId="164" fontId="22" fillId="0" borderId="24" xfId="0" applyNumberFormat="1" applyFont="1" applyFill="1" applyBorder="1" applyAlignment="1" applyProtection="1">
      <alignment vertical="center" wrapText="1"/>
    </xf>
    <xf numFmtId="164" fontId="22" fillId="0" borderId="13" xfId="0" applyNumberFormat="1" applyFont="1" applyFill="1" applyBorder="1" applyAlignment="1" applyProtection="1">
      <alignment vertical="center" wrapText="1"/>
    </xf>
    <xf numFmtId="164" fontId="22" fillId="0" borderId="14" xfId="0" applyNumberFormat="1" applyFont="1" applyFill="1" applyBorder="1" applyAlignment="1" applyProtection="1">
      <alignment vertical="center" wrapText="1"/>
    </xf>
    <xf numFmtId="164" fontId="22" fillId="0" borderId="21" xfId="0" applyNumberFormat="1" applyFont="1" applyFill="1" applyBorder="1" applyAlignment="1" applyProtection="1">
      <alignment vertical="center" wrapText="1"/>
    </xf>
    <xf numFmtId="164" fontId="22" fillId="0" borderId="25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25" xfId="0" applyNumberFormat="1" applyFont="1" applyFill="1" applyBorder="1" applyAlignment="1" applyProtection="1">
      <alignment vertical="center" wrapText="1"/>
      <protection locked="0"/>
    </xf>
    <xf numFmtId="164" fontId="22" fillId="0" borderId="8" xfId="0" applyNumberFormat="1" applyFont="1" applyFill="1" applyBorder="1" applyAlignment="1" applyProtection="1">
      <alignment vertical="center" wrapText="1"/>
      <protection locked="0"/>
    </xf>
    <xf numFmtId="164" fontId="22" fillId="0" borderId="26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26" xfId="0" applyNumberFormat="1" applyFont="1" applyFill="1" applyBorder="1" applyAlignment="1" applyProtection="1">
      <alignment vertical="center" wrapText="1"/>
      <protection locked="0"/>
    </xf>
    <xf numFmtId="164" fontId="22" fillId="0" borderId="10" xfId="0" applyNumberFormat="1" applyFont="1" applyFill="1" applyBorder="1" applyAlignment="1" applyProtection="1">
      <alignment vertical="center" wrapText="1"/>
      <protection locked="0"/>
    </xf>
    <xf numFmtId="164" fontId="22" fillId="0" borderId="27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28" xfId="0" applyNumberFormat="1" applyFont="1" applyFill="1" applyBorder="1" applyAlignment="1" applyProtection="1">
      <alignment vertical="center" wrapText="1"/>
      <protection locked="0"/>
    </xf>
    <xf numFmtId="164" fontId="22" fillId="0" borderId="7" xfId="0" applyNumberFormat="1" applyFont="1" applyFill="1" applyBorder="1" applyAlignment="1" applyProtection="1">
      <alignment vertical="center" wrapText="1"/>
      <protection locked="0"/>
    </xf>
    <xf numFmtId="164" fontId="22" fillId="0" borderId="1" xfId="0" applyNumberFormat="1" applyFont="1" applyFill="1" applyBorder="1" applyAlignment="1" applyProtection="1">
      <alignment vertical="center" wrapText="1"/>
      <protection locked="0"/>
    </xf>
    <xf numFmtId="164" fontId="10" fillId="0" borderId="0" xfId="0" applyNumberFormat="1" applyFont="1" applyFill="1" applyAlignment="1">
      <alignment horizontal="center" vertical="center" wrapText="1"/>
    </xf>
    <xf numFmtId="164" fontId="10" fillId="0" borderId="0" xfId="0" applyNumberFormat="1" applyFont="1" applyFill="1" applyAlignment="1">
      <alignment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64" fontId="30" fillId="0" borderId="29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8" xfId="0" applyFont="1" applyFill="1" applyBorder="1" applyAlignment="1">
      <alignment horizontal="center" vertical="center" wrapText="1"/>
    </xf>
    <xf numFmtId="164" fontId="30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2" xfId="0" applyFont="1" applyFill="1" applyBorder="1" applyAlignment="1" applyProtection="1">
      <alignment vertical="center" wrapText="1"/>
      <protection locked="0"/>
    </xf>
    <xf numFmtId="0" fontId="30" fillId="0" borderId="30" xfId="0" applyFont="1" applyFill="1" applyBorder="1" applyAlignment="1" applyProtection="1">
      <alignment vertical="center" wrapText="1"/>
      <protection locked="0"/>
    </xf>
    <xf numFmtId="164" fontId="30" fillId="0" borderId="30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31" xfId="0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0" xfId="0" applyFill="1" applyAlignment="1">
      <alignment horizontal="right" vertical="center" wrapText="1"/>
    </xf>
    <xf numFmtId="0" fontId="0" fillId="0" borderId="0" xfId="0" applyFill="1" applyAlignment="1">
      <alignment horizontal="center" vertical="center" wrapText="1"/>
    </xf>
    <xf numFmtId="3" fontId="30" fillId="0" borderId="16" xfId="0" applyNumberFormat="1" applyFont="1" applyFill="1" applyBorder="1" applyAlignment="1" applyProtection="1">
      <alignment horizontal="right" vertical="center" indent="1"/>
      <protection locked="0"/>
    </xf>
    <xf numFmtId="3" fontId="30" fillId="0" borderId="18" xfId="0" applyNumberFormat="1" applyFont="1" applyFill="1" applyBorder="1" applyAlignment="1" applyProtection="1">
      <alignment horizontal="right" vertical="center" indent="1"/>
      <protection locked="0"/>
    </xf>
    <xf numFmtId="0" fontId="24" fillId="0" borderId="0" xfId="0" applyFont="1" applyFill="1"/>
    <xf numFmtId="3" fontId="30" fillId="0" borderId="4" xfId="0" applyNumberFormat="1" applyFont="1" applyFill="1" applyBorder="1" applyAlignment="1" applyProtection="1">
      <alignment vertical="center"/>
      <protection locked="0"/>
    </xf>
    <xf numFmtId="3" fontId="34" fillId="0" borderId="2" xfId="0" applyNumberFormat="1" applyFont="1" applyFill="1" applyBorder="1" applyAlignment="1" applyProtection="1">
      <alignment vertical="center"/>
      <protection locked="0"/>
    </xf>
    <xf numFmtId="3" fontId="30" fillId="0" borderId="2" xfId="0" applyNumberFormat="1" applyFont="1" applyFill="1" applyBorder="1" applyAlignment="1" applyProtection="1">
      <alignment vertical="center"/>
      <protection locked="0"/>
    </xf>
    <xf numFmtId="49" fontId="30" fillId="0" borderId="10" xfId="0" applyNumberFormat="1" applyFont="1" applyFill="1" applyBorder="1" applyAlignment="1" applyProtection="1">
      <alignment vertical="center"/>
      <protection locked="0"/>
    </xf>
    <xf numFmtId="3" fontId="30" fillId="0" borderId="6" xfId="0" applyNumberFormat="1" applyFont="1" applyFill="1" applyBorder="1" applyAlignment="1" applyProtection="1">
      <alignment vertical="center"/>
      <protection locked="0"/>
    </xf>
    <xf numFmtId="49" fontId="30" fillId="0" borderId="8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31" fillId="0" borderId="15" xfId="5" applyFont="1" applyFill="1" applyBorder="1" applyAlignment="1" applyProtection="1">
      <alignment horizontal="center" vertical="center" wrapText="1"/>
    </xf>
    <xf numFmtId="0" fontId="31" fillId="0" borderId="19" xfId="5" applyFont="1" applyFill="1" applyBorder="1" applyAlignment="1" applyProtection="1">
      <alignment horizontal="center" vertical="center"/>
    </xf>
    <xf numFmtId="0" fontId="31" fillId="0" borderId="32" xfId="5" applyFont="1" applyFill="1" applyBorder="1" applyAlignment="1" applyProtection="1">
      <alignment horizontal="center" vertical="center"/>
    </xf>
    <xf numFmtId="0" fontId="12" fillId="0" borderId="0" xfId="5" applyFill="1" applyProtection="1"/>
    <xf numFmtId="0" fontId="22" fillId="0" borderId="13" xfId="5" applyFont="1" applyFill="1" applyBorder="1" applyAlignment="1" applyProtection="1">
      <alignment horizontal="left" vertical="center" indent="1"/>
    </xf>
    <xf numFmtId="0" fontId="12" fillId="0" borderId="0" xfId="5" applyFill="1" applyAlignment="1" applyProtection="1">
      <alignment vertical="center"/>
    </xf>
    <xf numFmtId="164" fontId="22" fillId="0" borderId="1" xfId="5" applyNumberFormat="1" applyFont="1" applyFill="1" applyBorder="1" applyAlignment="1" applyProtection="1">
      <alignment vertical="center"/>
      <protection locked="0"/>
    </xf>
    <xf numFmtId="0" fontId="22" fillId="0" borderId="8" xfId="5" applyFont="1" applyFill="1" applyBorder="1" applyAlignment="1" applyProtection="1">
      <alignment horizontal="left" vertical="center" indent="1"/>
    </xf>
    <xf numFmtId="164" fontId="22" fillId="0" borderId="2" xfId="5" applyNumberFormat="1" applyFont="1" applyFill="1" applyBorder="1" applyAlignment="1" applyProtection="1">
      <alignment vertical="center"/>
      <protection locked="0"/>
    </xf>
    <xf numFmtId="164" fontId="22" fillId="0" borderId="16" xfId="5" applyNumberFormat="1" applyFont="1" applyFill="1" applyBorder="1" applyAlignment="1" applyProtection="1">
      <alignment vertical="center"/>
    </xf>
    <xf numFmtId="0" fontId="12" fillId="0" borderId="0" xfId="5" applyFill="1" applyAlignment="1" applyProtection="1">
      <alignment vertical="center"/>
      <protection locked="0"/>
    </xf>
    <xf numFmtId="164" fontId="22" fillId="0" borderId="3" xfId="5" applyNumberFormat="1" applyFont="1" applyFill="1" applyBorder="1" applyAlignment="1" applyProtection="1">
      <alignment vertical="center"/>
      <protection locked="0"/>
    </xf>
    <xf numFmtId="164" fontId="22" fillId="0" borderId="29" xfId="5" applyNumberFormat="1" applyFont="1" applyFill="1" applyBorder="1" applyAlignment="1" applyProtection="1">
      <alignment vertical="center"/>
    </xf>
    <xf numFmtId="164" fontId="20" fillId="0" borderId="14" xfId="5" applyNumberFormat="1" applyFont="1" applyFill="1" applyBorder="1" applyAlignment="1" applyProtection="1">
      <alignment vertical="center"/>
    </xf>
    <xf numFmtId="164" fontId="20" fillId="0" borderId="21" xfId="5" applyNumberFormat="1" applyFont="1" applyFill="1" applyBorder="1" applyAlignment="1" applyProtection="1">
      <alignment vertical="center"/>
    </xf>
    <xf numFmtId="0" fontId="22" fillId="0" borderId="9" xfId="5" applyFont="1" applyFill="1" applyBorder="1" applyAlignment="1" applyProtection="1">
      <alignment horizontal="left" vertical="center" indent="1"/>
    </xf>
    <xf numFmtId="0" fontId="20" fillId="0" borderId="13" xfId="5" applyFont="1" applyFill="1" applyBorder="1" applyAlignment="1" applyProtection="1">
      <alignment horizontal="left" vertical="center" indent="1"/>
    </xf>
    <xf numFmtId="164" fontId="20" fillId="0" borderId="14" xfId="5" applyNumberFormat="1" applyFont="1" applyFill="1" applyBorder="1" applyProtection="1"/>
    <xf numFmtId="164" fontId="20" fillId="0" borderId="21" xfId="5" applyNumberFormat="1" applyFont="1" applyFill="1" applyBorder="1" applyProtection="1"/>
    <xf numFmtId="0" fontId="12" fillId="0" borderId="0" xfId="5" applyFill="1" applyProtection="1">
      <protection locked="0"/>
    </xf>
    <xf numFmtId="0" fontId="15" fillId="0" borderId="0" xfId="5" applyFont="1" applyFill="1" applyProtection="1"/>
    <xf numFmtId="0" fontId="36" fillId="0" borderId="0" xfId="5" applyFont="1" applyFill="1" applyProtection="1">
      <protection locked="0"/>
    </xf>
    <xf numFmtId="0" fontId="24" fillId="0" borderId="0" xfId="5" applyFont="1" applyFill="1" applyProtection="1">
      <protection locked="0"/>
    </xf>
    <xf numFmtId="0" fontId="27" fillId="0" borderId="33" xfId="0" applyFont="1" applyFill="1" applyBorder="1" applyAlignment="1" applyProtection="1">
      <alignment horizontal="left" vertical="center" wrapText="1"/>
      <protection locked="0"/>
    </xf>
    <xf numFmtId="0" fontId="27" fillId="0" borderId="34" xfId="0" applyFont="1" applyFill="1" applyBorder="1" applyAlignment="1" applyProtection="1">
      <alignment horizontal="left" vertical="center" wrapText="1"/>
      <protection locked="0"/>
    </xf>
    <xf numFmtId="0" fontId="27" fillId="0" borderId="35" xfId="0" applyFont="1" applyFill="1" applyBorder="1" applyAlignment="1" applyProtection="1">
      <alignment horizontal="left" vertical="center" wrapText="1"/>
      <protection locked="0"/>
    </xf>
    <xf numFmtId="164" fontId="20" fillId="2" borderId="14" xfId="0" applyNumberFormat="1" applyFont="1" applyFill="1" applyBorder="1" applyAlignment="1" applyProtection="1">
      <alignment vertical="center" wrapText="1"/>
    </xf>
    <xf numFmtId="164" fontId="8" fillId="2" borderId="14" xfId="0" applyNumberFormat="1" applyFont="1" applyFill="1" applyBorder="1" applyAlignment="1" applyProtection="1">
      <alignment vertical="center" wrapText="1"/>
    </xf>
    <xf numFmtId="164" fontId="15" fillId="2" borderId="36" xfId="0" applyNumberFormat="1" applyFont="1" applyFill="1" applyBorder="1" applyAlignment="1" applyProtection="1">
      <alignment horizontal="left" vertical="center" wrapText="1" indent="2"/>
    </xf>
    <xf numFmtId="3" fontId="4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9" xfId="0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3" xfId="0" applyFont="1" applyFill="1" applyBorder="1" applyAlignment="1" applyProtection="1">
      <alignment vertical="center" wrapText="1"/>
      <protection locked="0"/>
    </xf>
    <xf numFmtId="0" fontId="29" fillId="0" borderId="14" xfId="4" applyFont="1" applyFill="1" applyBorder="1" applyAlignment="1" applyProtection="1">
      <alignment horizontal="left" vertical="center" wrapText="1" indent="1"/>
    </xf>
    <xf numFmtId="0" fontId="24" fillId="0" borderId="0" xfId="4" applyFont="1" applyFill="1"/>
    <xf numFmtId="164" fontId="29" fillId="0" borderId="13" xfId="0" applyNumberFormat="1" applyFont="1" applyFill="1" applyBorder="1" applyAlignment="1" applyProtection="1">
      <alignment horizontal="left" vertical="center" wrapText="1" indent="1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right" indent="1"/>
    </xf>
    <xf numFmtId="0" fontId="25" fillId="0" borderId="0" xfId="0" applyFont="1" applyAlignment="1">
      <alignment horizontal="center"/>
    </xf>
    <xf numFmtId="0" fontId="29" fillId="0" borderId="14" xfId="4" applyFont="1" applyFill="1" applyBorder="1" applyAlignment="1" applyProtection="1">
      <alignment horizontal="left" vertical="center" wrapText="1"/>
    </xf>
    <xf numFmtId="164" fontId="30" fillId="0" borderId="5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11" xfId="0" applyFont="1" applyFill="1" applyBorder="1" applyAlignment="1">
      <alignment horizontal="center" vertical="center" wrapText="1"/>
    </xf>
    <xf numFmtId="0" fontId="39" fillId="0" borderId="0" xfId="0" applyFont="1" applyFill="1"/>
    <xf numFmtId="3" fontId="39" fillId="0" borderId="0" xfId="0" applyNumberFormat="1" applyFont="1" applyFill="1" applyAlignment="1">
      <alignment horizontal="right" indent="1"/>
    </xf>
    <xf numFmtId="3" fontId="31" fillId="0" borderId="0" xfId="0" applyNumberFormat="1" applyFont="1" applyFill="1" applyAlignment="1">
      <alignment horizontal="right" indent="1"/>
    </xf>
    <xf numFmtId="0" fontId="39" fillId="0" borderId="0" xfId="0" applyFont="1" applyFill="1" applyAlignment="1">
      <alignment horizontal="right" indent="1"/>
    </xf>
    <xf numFmtId="0" fontId="6" fillId="0" borderId="37" xfId="0" applyFont="1" applyFill="1" applyBorder="1" applyAlignment="1" applyProtection="1">
      <alignment horizontal="right"/>
    </xf>
    <xf numFmtId="164" fontId="37" fillId="0" borderId="37" xfId="4" applyNumberFormat="1" applyFont="1" applyFill="1" applyBorder="1" applyAlignment="1" applyProtection="1">
      <alignment horizontal="left" vertical="center"/>
    </xf>
    <xf numFmtId="0" fontId="30" fillId="0" borderId="23" xfId="4" applyFont="1" applyFill="1" applyBorder="1" applyAlignment="1" applyProtection="1">
      <alignment horizontal="left" vertical="center" wrapText="1" indent="1"/>
    </xf>
    <xf numFmtId="0" fontId="22" fillId="0" borderId="2" xfId="4" applyFont="1" applyFill="1" applyBorder="1" applyAlignment="1" applyProtection="1">
      <alignment horizontal="left" indent="6"/>
    </xf>
    <xf numFmtId="0" fontId="22" fillId="0" borderId="2" xfId="4" applyFont="1" applyFill="1" applyBorder="1" applyAlignment="1" applyProtection="1">
      <alignment horizontal="left" vertical="center" wrapText="1" indent="6"/>
    </xf>
    <xf numFmtId="0" fontId="22" fillId="0" borderId="6" xfId="4" applyFont="1" applyFill="1" applyBorder="1" applyAlignment="1" applyProtection="1">
      <alignment horizontal="left" vertical="center" wrapText="1" indent="6"/>
    </xf>
    <xf numFmtId="0" fontId="22" fillId="0" borderId="30" xfId="4" applyFont="1" applyFill="1" applyBorder="1" applyAlignment="1" applyProtection="1">
      <alignment horizontal="left" vertical="center" wrapText="1" indent="6"/>
    </xf>
    <xf numFmtId="0" fontId="44" fillId="0" borderId="0" xfId="0" applyFont="1" applyFill="1"/>
    <xf numFmtId="0" fontId="45" fillId="0" borderId="0" xfId="0" applyFont="1"/>
    <xf numFmtId="0" fontId="15" fillId="0" borderId="0" xfId="4" applyFont="1" applyFill="1" applyBorder="1"/>
    <xf numFmtId="0" fontId="2" fillId="0" borderId="0" xfId="4" applyFont="1" applyFill="1"/>
    <xf numFmtId="164" fontId="5" fillId="0" borderId="0" xfId="4" applyNumberFormat="1" applyFont="1" applyFill="1" applyBorder="1" applyAlignment="1" applyProtection="1">
      <alignment horizontal="centerContinuous" vertical="center"/>
    </xf>
    <xf numFmtId="0" fontId="15" fillId="0" borderId="8" xfId="4" applyFont="1" applyFill="1" applyBorder="1" applyAlignment="1">
      <alignment horizontal="center" vertical="center"/>
    </xf>
    <xf numFmtId="0" fontId="15" fillId="0" borderId="9" xfId="4" applyFont="1" applyFill="1" applyBorder="1" applyAlignment="1">
      <alignment horizontal="center" vertical="center"/>
    </xf>
    <xf numFmtId="0" fontId="15" fillId="0" borderId="13" xfId="4" applyFont="1" applyFill="1" applyBorder="1" applyAlignment="1">
      <alignment horizontal="center" vertical="center"/>
    </xf>
    <xf numFmtId="0" fontId="15" fillId="0" borderId="14" xfId="4" applyFont="1" applyFill="1" applyBorder="1" applyAlignment="1">
      <alignment horizontal="center" vertical="center"/>
    </xf>
    <xf numFmtId="0" fontId="15" fillId="0" borderId="21" xfId="4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/>
    <xf numFmtId="0" fontId="15" fillId="0" borderId="10" xfId="4" applyFont="1" applyFill="1" applyBorder="1" applyAlignment="1">
      <alignment horizontal="center" vertical="center"/>
    </xf>
    <xf numFmtId="0" fontId="32" fillId="0" borderId="14" xfId="4" applyFont="1" applyFill="1" applyBorder="1"/>
    <xf numFmtId="165" fontId="15" fillId="0" borderId="16" xfId="1" applyNumberFormat="1" applyFont="1" applyFill="1" applyBorder="1"/>
    <xf numFmtId="0" fontId="23" fillId="0" borderId="0" xfId="0" applyFont="1" applyFill="1" applyBorder="1" applyAlignment="1" applyProtection="1">
      <alignment horizontal="right"/>
    </xf>
    <xf numFmtId="0" fontId="8" fillId="0" borderId="38" xfId="4" applyFont="1" applyFill="1" applyBorder="1" applyAlignment="1" applyProtection="1">
      <alignment horizontal="center" vertical="center" wrapText="1"/>
    </xf>
    <xf numFmtId="0" fontId="42" fillId="0" borderId="0" xfId="0" applyFont="1" applyFill="1" applyProtection="1"/>
    <xf numFmtId="0" fontId="3" fillId="0" borderId="0" xfId="0" applyFont="1" applyFill="1" applyProtection="1"/>
    <xf numFmtId="0" fontId="3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43" fillId="0" borderId="0" xfId="0" applyFont="1" applyFill="1"/>
    <xf numFmtId="164" fontId="30" fillId="0" borderId="3" xfId="0" applyNumberFormat="1" applyFont="1" applyFill="1" applyBorder="1" applyAlignment="1" applyProtection="1">
      <alignment vertical="center"/>
      <protection locked="0"/>
    </xf>
    <xf numFmtId="164" fontId="30" fillId="0" borderId="2" xfId="0" applyNumberFormat="1" applyFont="1" applyFill="1" applyBorder="1" applyAlignment="1" applyProtection="1">
      <alignment vertical="center"/>
      <protection locked="0"/>
    </xf>
    <xf numFmtId="164" fontId="30" fillId="0" borderId="6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/>
    <xf numFmtId="0" fontId="0" fillId="0" borderId="0" xfId="0" applyFill="1" applyBorder="1"/>
    <xf numFmtId="0" fontId="6" fillId="0" borderId="0" xfId="0" applyFont="1" applyFill="1" applyBorder="1" applyAlignment="1">
      <alignment horizontal="center"/>
    </xf>
    <xf numFmtId="0" fontId="15" fillId="0" borderId="2" xfId="4" applyFont="1" applyFill="1" applyBorder="1" applyProtection="1">
      <protection locked="0"/>
    </xf>
    <xf numFmtId="165" fontId="15" fillId="0" borderId="2" xfId="1" applyNumberFormat="1" applyFont="1" applyFill="1" applyBorder="1" applyProtection="1">
      <protection locked="0"/>
    </xf>
    <xf numFmtId="0" fontId="15" fillId="0" borderId="6" xfId="4" applyFont="1" applyFill="1" applyBorder="1" applyProtection="1">
      <protection locked="0"/>
    </xf>
    <xf numFmtId="165" fontId="15" fillId="0" borderId="6" xfId="1" applyNumberFormat="1" applyFont="1" applyFill="1" applyBorder="1" applyProtection="1">
      <protection locked="0"/>
    </xf>
    <xf numFmtId="0" fontId="29" fillId="0" borderId="11" xfId="4" applyFont="1" applyFill="1" applyBorder="1" applyAlignment="1" applyProtection="1">
      <alignment horizontal="center" vertical="center" wrapText="1"/>
    </xf>
    <xf numFmtId="0" fontId="29" fillId="0" borderId="4" xfId="4" applyFont="1" applyFill="1" applyBorder="1" applyAlignment="1" applyProtection="1">
      <alignment horizontal="center" vertical="center" wrapText="1"/>
    </xf>
    <xf numFmtId="0" fontId="29" fillId="0" borderId="20" xfId="4" applyFont="1" applyFill="1" applyBorder="1" applyAlignment="1" applyProtection="1">
      <alignment horizontal="center" vertical="center" wrapText="1"/>
    </xf>
    <xf numFmtId="0" fontId="30" fillId="0" borderId="13" xfId="4" applyFont="1" applyFill="1" applyBorder="1" applyAlignment="1" applyProtection="1">
      <alignment horizontal="center" vertical="center"/>
    </xf>
    <xf numFmtId="0" fontId="30" fillId="0" borderId="11" xfId="4" applyFont="1" applyFill="1" applyBorder="1" applyAlignment="1" applyProtection="1">
      <alignment horizontal="center" vertical="center"/>
    </xf>
    <xf numFmtId="0" fontId="30" fillId="0" borderId="8" xfId="4" applyFont="1" applyFill="1" applyBorder="1" applyAlignment="1" applyProtection="1">
      <alignment horizontal="center" vertical="center"/>
    </xf>
    <xf numFmtId="0" fontId="30" fillId="0" borderId="10" xfId="4" applyFont="1" applyFill="1" applyBorder="1" applyAlignment="1" applyProtection="1">
      <alignment horizontal="center" vertical="center"/>
    </xf>
    <xf numFmtId="165" fontId="29" fillId="0" borderId="21" xfId="1" applyNumberFormat="1" applyFont="1" applyFill="1" applyBorder="1" applyProtection="1"/>
    <xf numFmtId="165" fontId="30" fillId="0" borderId="20" xfId="1" applyNumberFormat="1" applyFont="1" applyFill="1" applyBorder="1" applyProtection="1">
      <protection locked="0"/>
    </xf>
    <xf numFmtId="165" fontId="30" fillId="0" borderId="16" xfId="1" applyNumberFormat="1" applyFont="1" applyFill="1" applyBorder="1" applyProtection="1">
      <protection locked="0"/>
    </xf>
    <xf numFmtId="165" fontId="30" fillId="0" borderId="18" xfId="1" applyNumberFormat="1" applyFont="1" applyFill="1" applyBorder="1" applyProtection="1">
      <protection locked="0"/>
    </xf>
    <xf numFmtId="0" fontId="35" fillId="0" borderId="13" xfId="0" applyFont="1" applyFill="1" applyBorder="1" applyAlignment="1" applyProtection="1">
      <alignment horizontal="center" vertical="center" wrapText="1"/>
    </xf>
    <xf numFmtId="0" fontId="35" fillId="0" borderId="21" xfId="0" applyFont="1" applyFill="1" applyBorder="1" applyAlignment="1" applyProtection="1">
      <alignment horizontal="center" vertical="center" wrapText="1"/>
    </xf>
    <xf numFmtId="164" fontId="0" fillId="0" borderId="0" xfId="0" applyNumberFormat="1" applyFill="1" applyAlignment="1" applyProtection="1">
      <alignment horizontal="center" vertical="center" wrapText="1"/>
    </xf>
    <xf numFmtId="164" fontId="8" fillId="0" borderId="13" xfId="0" applyNumberFormat="1" applyFont="1" applyFill="1" applyBorder="1" applyAlignment="1" applyProtection="1">
      <alignment horizontal="center" vertical="center" wrapText="1"/>
    </xf>
    <xf numFmtId="164" fontId="8" fillId="0" borderId="14" xfId="0" applyNumberFormat="1" applyFont="1" applyFill="1" applyBorder="1" applyAlignment="1" applyProtection="1">
      <alignment horizontal="center" vertical="center" wrapText="1"/>
    </xf>
    <xf numFmtId="164" fontId="8" fillId="0" borderId="13" xfId="0" applyNumberFormat="1" applyFont="1" applyFill="1" applyBorder="1" applyAlignment="1" applyProtection="1">
      <alignment horizontal="left" vertical="center" wrapText="1"/>
    </xf>
    <xf numFmtId="164" fontId="8" fillId="0" borderId="14" xfId="0" applyNumberFormat="1" applyFont="1" applyFill="1" applyBorder="1" applyAlignment="1" applyProtection="1">
      <alignment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 applyProtection="1">
      <alignment horizontal="center" vertical="center" wrapText="1"/>
    </xf>
    <xf numFmtId="0" fontId="8" fillId="0" borderId="21" xfId="0" applyFont="1" applyFill="1" applyBorder="1" applyAlignment="1" applyProtection="1">
      <alignment horizontal="center" vertical="center" wrapText="1"/>
    </xf>
    <xf numFmtId="0" fontId="20" fillId="0" borderId="13" xfId="0" applyFont="1" applyFill="1" applyBorder="1" applyAlignment="1" applyProtection="1">
      <alignment horizontal="center" vertical="center" wrapText="1"/>
    </xf>
    <xf numFmtId="0" fontId="20" fillId="0" borderId="14" xfId="0" applyFont="1" applyFill="1" applyBorder="1" applyAlignment="1" applyProtection="1">
      <alignment horizontal="center" vertical="center" wrapText="1"/>
    </xf>
    <xf numFmtId="0" fontId="20" fillId="0" borderId="21" xfId="0" applyFont="1" applyFill="1" applyBorder="1" applyAlignment="1" applyProtection="1">
      <alignment horizontal="center" vertical="center" wrapText="1"/>
    </xf>
    <xf numFmtId="0" fontId="27" fillId="0" borderId="5" xfId="0" applyFont="1" applyFill="1" applyBorder="1" applyAlignment="1" applyProtection="1">
      <alignment horizontal="left" vertical="center" wrapText="1" indent="1"/>
    </xf>
    <xf numFmtId="0" fontId="27" fillId="0" borderId="5" xfId="0" applyFont="1" applyFill="1" applyBorder="1" applyAlignment="1" applyProtection="1">
      <alignment horizontal="left" vertical="center" wrapText="1" indent="8"/>
    </xf>
    <xf numFmtId="0" fontId="30" fillId="0" borderId="3" xfId="0" applyFont="1" applyFill="1" applyBorder="1" applyAlignment="1" applyProtection="1">
      <alignment vertical="center" wrapText="1"/>
    </xf>
    <xf numFmtId="0" fontId="30" fillId="0" borderId="2" xfId="0" applyFont="1" applyFill="1" applyBorder="1" applyAlignment="1" applyProtection="1">
      <alignment vertical="center" wrapText="1"/>
    </xf>
    <xf numFmtId="0" fontId="29" fillId="0" borderId="13" xfId="0" applyFont="1" applyFill="1" applyBorder="1" applyAlignment="1" applyProtection="1">
      <alignment horizontal="center" vertical="center" wrapText="1"/>
    </xf>
    <xf numFmtId="0" fontId="31" fillId="0" borderId="23" xfId="0" applyFont="1" applyFill="1" applyBorder="1" applyAlignment="1" applyProtection="1">
      <alignment vertical="center" wrapText="1"/>
    </xf>
    <xf numFmtId="164" fontId="29" fillId="0" borderId="23" xfId="0" applyNumberFormat="1" applyFont="1" applyFill="1" applyBorder="1" applyAlignment="1" applyProtection="1">
      <alignment vertical="center" wrapText="1"/>
    </xf>
    <xf numFmtId="164" fontId="29" fillId="0" borderId="39" xfId="0" applyNumberFormat="1" applyFont="1" applyFill="1" applyBorder="1" applyAlignment="1" applyProtection="1">
      <alignment vertical="center" wrapText="1"/>
    </xf>
    <xf numFmtId="0" fontId="0" fillId="0" borderId="0" xfId="0" applyProtection="1"/>
    <xf numFmtId="0" fontId="30" fillId="0" borderId="11" xfId="0" applyFont="1" applyBorder="1" applyAlignment="1" applyProtection="1">
      <alignment horizontal="right" vertical="center" indent="1"/>
    </xf>
    <xf numFmtId="0" fontId="30" fillId="0" borderId="8" xfId="0" applyFont="1" applyBorder="1" applyAlignment="1" applyProtection="1">
      <alignment horizontal="right" vertical="center" indent="1"/>
    </xf>
    <xf numFmtId="0" fontId="30" fillId="0" borderId="10" xfId="0" applyFont="1" applyBorder="1" applyAlignment="1" applyProtection="1">
      <alignment horizontal="right" vertical="center" indent="1"/>
    </xf>
    <xf numFmtId="164" fontId="15" fillId="3" borderId="24" xfId="0" applyNumberFormat="1" applyFont="1" applyFill="1" applyBorder="1" applyAlignment="1" applyProtection="1">
      <alignment horizontal="left" vertical="center" wrapText="1" indent="2"/>
    </xf>
    <xf numFmtId="3" fontId="32" fillId="0" borderId="21" xfId="0" applyNumberFormat="1" applyFont="1" applyFill="1" applyBorder="1" applyAlignment="1" applyProtection="1">
      <alignment horizontal="right" vertical="center" indent="1"/>
    </xf>
    <xf numFmtId="0" fontId="0" fillId="0" borderId="0" xfId="0" applyFill="1" applyProtection="1"/>
    <xf numFmtId="0" fontId="24" fillId="0" borderId="0" xfId="0" applyFont="1" applyFill="1" applyProtection="1"/>
    <xf numFmtId="0" fontId="31" fillId="0" borderId="15" xfId="0" applyFont="1" applyFill="1" applyBorder="1" applyAlignment="1" applyProtection="1">
      <alignment vertical="center"/>
    </xf>
    <xf numFmtId="0" fontId="31" fillId="0" borderId="19" xfId="0" applyFont="1" applyFill="1" applyBorder="1" applyAlignment="1" applyProtection="1">
      <alignment horizontal="center" vertical="center"/>
    </xf>
    <xf numFmtId="0" fontId="31" fillId="0" borderId="32" xfId="0" applyFont="1" applyFill="1" applyBorder="1" applyAlignment="1" applyProtection="1">
      <alignment horizontal="center" vertical="center"/>
    </xf>
    <xf numFmtId="49" fontId="30" fillId="0" borderId="11" xfId="0" applyNumberFormat="1" applyFont="1" applyFill="1" applyBorder="1" applyAlignment="1" applyProtection="1">
      <alignment vertical="center"/>
    </xf>
    <xf numFmtId="3" fontId="30" fillId="0" borderId="20" xfId="0" applyNumberFormat="1" applyFont="1" applyFill="1" applyBorder="1" applyAlignment="1" applyProtection="1">
      <alignment vertical="center"/>
    </xf>
    <xf numFmtId="49" fontId="34" fillId="0" borderId="8" xfId="0" quotePrefix="1" applyNumberFormat="1" applyFont="1" applyFill="1" applyBorder="1" applyAlignment="1" applyProtection="1">
      <alignment horizontal="left" vertical="center" indent="1"/>
    </xf>
    <xf numFmtId="3" fontId="34" fillId="0" borderId="16" xfId="0" applyNumberFormat="1" applyFont="1" applyFill="1" applyBorder="1" applyAlignment="1" applyProtection="1">
      <alignment vertical="center"/>
    </xf>
    <xf numFmtId="49" fontId="30" fillId="0" borderId="8" xfId="0" applyNumberFormat="1" applyFont="1" applyFill="1" applyBorder="1" applyAlignment="1" applyProtection="1">
      <alignment vertical="center"/>
    </xf>
    <xf numFmtId="3" fontId="30" fillId="0" borderId="16" xfId="0" applyNumberFormat="1" applyFont="1" applyFill="1" applyBorder="1" applyAlignment="1" applyProtection="1">
      <alignment vertical="center"/>
    </xf>
    <xf numFmtId="49" fontId="31" fillId="0" borderId="13" xfId="0" applyNumberFormat="1" applyFont="1" applyFill="1" applyBorder="1" applyAlignment="1" applyProtection="1">
      <alignment vertical="center"/>
    </xf>
    <xf numFmtId="3" fontId="30" fillId="0" borderId="14" xfId="0" applyNumberFormat="1" applyFont="1" applyFill="1" applyBorder="1" applyAlignment="1" applyProtection="1">
      <alignment vertical="center"/>
    </xf>
    <xf numFmtId="3" fontId="30" fillId="0" borderId="21" xfId="0" applyNumberFormat="1" applyFont="1" applyFill="1" applyBorder="1" applyAlignment="1" applyProtection="1">
      <alignment vertical="center"/>
    </xf>
    <xf numFmtId="49" fontId="30" fillId="0" borderId="8" xfId="0" applyNumberFormat="1" applyFont="1" applyFill="1" applyBorder="1" applyAlignment="1" applyProtection="1">
      <alignment horizontal="left" vertical="center"/>
    </xf>
    <xf numFmtId="164" fontId="3" fillId="0" borderId="0" xfId="0" applyNumberFormat="1" applyFont="1" applyFill="1" applyAlignment="1" applyProtection="1">
      <alignment horizontal="left" vertical="center" wrapText="1"/>
    </xf>
    <xf numFmtId="164" fontId="3" fillId="0" borderId="0" xfId="0" applyNumberFormat="1" applyFont="1" applyFill="1" applyAlignment="1" applyProtection="1">
      <alignment vertical="center" wrapText="1"/>
    </xf>
    <xf numFmtId="164" fontId="19" fillId="0" borderId="0" xfId="0" applyNumberFormat="1" applyFont="1" applyFill="1" applyAlignment="1" applyProtection="1">
      <alignment vertical="center" wrapText="1"/>
    </xf>
    <xf numFmtId="0" fontId="8" fillId="0" borderId="40" xfId="0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right"/>
    </xf>
    <xf numFmtId="0" fontId="8" fillId="0" borderId="19" xfId="0" applyFont="1" applyFill="1" applyBorder="1" applyAlignment="1" applyProtection="1">
      <alignment horizontal="center" vertical="center" wrapText="1"/>
    </xf>
    <xf numFmtId="0" fontId="8" fillId="0" borderId="32" xfId="0" applyFont="1" applyFill="1" applyBorder="1" applyAlignment="1" applyProtection="1">
      <alignment horizontal="center" vertical="center" wrapText="1"/>
    </xf>
    <xf numFmtId="0" fontId="8" fillId="0" borderId="41" xfId="0" applyFont="1" applyFill="1" applyBorder="1" applyAlignment="1" applyProtection="1">
      <alignment horizontal="center" vertical="center" wrapText="1"/>
    </xf>
    <xf numFmtId="0" fontId="8" fillId="0" borderId="42" xfId="0" applyFont="1" applyFill="1" applyBorder="1" applyAlignment="1" applyProtection="1">
      <alignment horizontal="center" vertical="center" wrapText="1"/>
    </xf>
    <xf numFmtId="164" fontId="8" fillId="0" borderId="43" xfId="0" applyNumberFormat="1" applyFont="1" applyFill="1" applyBorder="1" applyAlignment="1" applyProtection="1">
      <alignment horizontal="center" vertical="center" wrapText="1"/>
    </xf>
    <xf numFmtId="0" fontId="29" fillId="0" borderId="14" xfId="0" applyFont="1" applyFill="1" applyBorder="1" applyAlignment="1" applyProtection="1">
      <alignment horizontal="left" vertical="center" wrapText="1" indent="1"/>
    </xf>
    <xf numFmtId="0" fontId="28" fillId="0" borderId="13" xfId="0" applyFont="1" applyBorder="1" applyAlignment="1" applyProtection="1">
      <alignment horizontal="center" vertical="center" wrapText="1"/>
    </xf>
    <xf numFmtId="0" fontId="40" fillId="0" borderId="44" xfId="0" applyFont="1" applyBorder="1" applyAlignment="1" applyProtection="1">
      <alignment horizontal="left" wrapText="1" indent="1"/>
    </xf>
    <xf numFmtId="0" fontId="22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left" vertical="center" wrapText="1" indent="1"/>
    </xf>
    <xf numFmtId="0" fontId="22" fillId="0" borderId="0" xfId="0" applyFont="1" applyFill="1" applyAlignment="1" applyProtection="1">
      <alignment horizontal="left" vertical="center" wrapText="1"/>
    </xf>
    <xf numFmtId="0" fontId="22" fillId="0" borderId="0" xfId="0" applyFont="1" applyFill="1" applyAlignment="1" applyProtection="1">
      <alignment vertical="center" wrapText="1"/>
    </xf>
    <xf numFmtId="0" fontId="20" fillId="0" borderId="45" xfId="0" applyFont="1" applyFill="1" applyBorder="1" applyAlignment="1" applyProtection="1">
      <alignment horizontal="center" vertical="center" wrapText="1"/>
    </xf>
    <xf numFmtId="0" fontId="8" fillId="0" borderId="46" xfId="0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 applyProtection="1">
      <alignment horizontal="left" vertical="center" wrapText="1" indent="1"/>
    </xf>
    <xf numFmtId="0" fontId="0" fillId="0" borderId="0" xfId="0" applyFill="1" applyAlignment="1" applyProtection="1">
      <alignment horizontal="left" vertical="center" wrapText="1"/>
    </xf>
    <xf numFmtId="0" fontId="0" fillId="0" borderId="0" xfId="0" applyFill="1" applyAlignment="1" applyProtection="1">
      <alignment vertical="center" wrapText="1"/>
    </xf>
    <xf numFmtId="0" fontId="4" fillId="0" borderId="13" xfId="0" applyFont="1" applyFill="1" applyBorder="1" applyAlignment="1" applyProtection="1">
      <alignment horizontal="left" vertical="center"/>
    </xf>
    <xf numFmtId="0" fontId="4" fillId="0" borderId="44" xfId="0" applyFont="1" applyFill="1" applyBorder="1" applyAlignment="1" applyProtection="1">
      <alignment vertical="center" wrapText="1"/>
    </xf>
    <xf numFmtId="0" fontId="41" fillId="0" borderId="0" xfId="0" applyFont="1" applyAlignment="1" applyProtection="1">
      <alignment horizontal="right" vertical="top"/>
      <protection locked="0"/>
    </xf>
    <xf numFmtId="16" fontId="0" fillId="0" borderId="0" xfId="0" applyNumberFormat="1" applyFill="1" applyAlignment="1">
      <alignment vertical="center" wrapText="1"/>
    </xf>
    <xf numFmtId="0" fontId="43" fillId="0" borderId="0" xfId="0" applyFont="1" applyFill="1" applyProtection="1"/>
    <xf numFmtId="0" fontId="30" fillId="0" borderId="9" xfId="0" applyFont="1" applyFill="1" applyBorder="1" applyAlignment="1" applyProtection="1">
      <alignment horizontal="center" vertical="center"/>
    </xf>
    <xf numFmtId="164" fontId="29" fillId="0" borderId="29" xfId="0" applyNumberFormat="1" applyFont="1" applyFill="1" applyBorder="1" applyAlignment="1" applyProtection="1">
      <alignment vertical="center"/>
    </xf>
    <xf numFmtId="0" fontId="30" fillId="0" borderId="8" xfId="0" applyFont="1" applyFill="1" applyBorder="1" applyAlignment="1" applyProtection="1">
      <alignment horizontal="center" vertical="center"/>
    </xf>
    <xf numFmtId="164" fontId="29" fillId="0" borderId="16" xfId="0" applyNumberFormat="1" applyFont="1" applyFill="1" applyBorder="1" applyAlignment="1" applyProtection="1">
      <alignment vertical="center"/>
    </xf>
    <xf numFmtId="0" fontId="30" fillId="0" borderId="10" xfId="0" applyFont="1" applyFill="1" applyBorder="1" applyAlignment="1" applyProtection="1">
      <alignment horizontal="center" vertical="center"/>
    </xf>
    <xf numFmtId="0" fontId="30" fillId="0" borderId="6" xfId="0" applyFont="1" applyFill="1" applyBorder="1" applyAlignment="1" applyProtection="1">
      <alignment vertical="center" wrapText="1"/>
    </xf>
    <xf numFmtId="164" fontId="29" fillId="0" borderId="18" xfId="0" applyNumberFormat="1" applyFont="1" applyFill="1" applyBorder="1" applyAlignment="1" applyProtection="1">
      <alignment vertical="center"/>
    </xf>
    <xf numFmtId="0" fontId="29" fillId="0" borderId="13" xfId="0" applyFont="1" applyFill="1" applyBorder="1" applyAlignment="1" applyProtection="1">
      <alignment horizontal="center" vertical="center"/>
    </xf>
    <xf numFmtId="0" fontId="31" fillId="0" borderId="14" xfId="0" applyFont="1" applyFill="1" applyBorder="1" applyAlignment="1" applyProtection="1">
      <alignment vertical="center" wrapText="1"/>
    </xf>
    <xf numFmtId="164" fontId="29" fillId="0" borderId="14" xfId="0" applyNumberFormat="1" applyFont="1" applyFill="1" applyBorder="1" applyAlignment="1" applyProtection="1">
      <alignment vertical="center"/>
    </xf>
    <xf numFmtId="164" fontId="29" fillId="0" borderId="21" xfId="0" applyNumberFormat="1" applyFont="1" applyFill="1" applyBorder="1" applyAlignment="1" applyProtection="1">
      <alignment vertical="center"/>
    </xf>
    <xf numFmtId="0" fontId="0" fillId="0" borderId="47" xfId="0" applyFill="1" applyBorder="1" applyProtection="1"/>
    <xf numFmtId="0" fontId="6" fillId="0" borderId="47" xfId="0" applyFont="1" applyFill="1" applyBorder="1" applyAlignment="1" applyProtection="1">
      <alignment horizontal="center"/>
    </xf>
    <xf numFmtId="0" fontId="43" fillId="0" borderId="0" xfId="0" applyFont="1" applyFill="1" applyProtection="1">
      <protection locked="0"/>
    </xf>
    <xf numFmtId="0" fontId="36" fillId="0" borderId="0" xfId="0" applyFont="1" applyFill="1" applyProtection="1">
      <protection locked="0"/>
    </xf>
    <xf numFmtId="164" fontId="20" fillId="0" borderId="38" xfId="4" applyNumberFormat="1" applyFont="1" applyFill="1" applyBorder="1" applyAlignment="1" applyProtection="1">
      <alignment horizontal="right" vertical="center" wrapText="1" indent="1"/>
    </xf>
    <xf numFmtId="164" fontId="22" fillId="0" borderId="48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49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43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48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43" xfId="4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50" xfId="0" applyNumberFormat="1" applyFont="1" applyFill="1" applyBorder="1" applyAlignment="1" applyProtection="1">
      <alignment horizontal="center" vertical="center"/>
    </xf>
    <xf numFmtId="164" fontId="8" fillId="0" borderId="31" xfId="0" applyNumberFormat="1" applyFont="1" applyFill="1" applyBorder="1" applyAlignment="1" applyProtection="1">
      <alignment horizontal="center" vertical="center" wrapText="1"/>
    </xf>
    <xf numFmtId="164" fontId="20" fillId="0" borderId="45" xfId="0" applyNumberFormat="1" applyFont="1" applyFill="1" applyBorder="1" applyAlignment="1" applyProtection="1">
      <alignment horizontal="center" vertical="center" wrapText="1"/>
    </xf>
    <xf numFmtId="164" fontId="20" fillId="0" borderId="24" xfId="0" applyNumberFormat="1" applyFont="1" applyFill="1" applyBorder="1" applyAlignment="1" applyProtection="1">
      <alignment horizontal="center" vertical="center" wrapText="1"/>
    </xf>
    <xf numFmtId="164" fontId="20" fillId="0" borderId="36" xfId="0" applyNumberFormat="1" applyFont="1" applyFill="1" applyBorder="1" applyAlignment="1" applyProtection="1">
      <alignment horizontal="center" vertical="center" wrapText="1"/>
    </xf>
    <xf numFmtId="164" fontId="20" fillId="0" borderId="21" xfId="0" applyNumberFormat="1" applyFont="1" applyFill="1" applyBorder="1" applyAlignment="1" applyProtection="1">
      <alignment horizontal="center" vertical="center" wrapText="1"/>
    </xf>
    <xf numFmtId="164" fontId="20" fillId="0" borderId="28" xfId="0" applyNumberFormat="1" applyFont="1" applyFill="1" applyBorder="1" applyAlignment="1" applyProtection="1">
      <alignment horizontal="center" vertical="center" wrapText="1"/>
    </xf>
    <xf numFmtId="164" fontId="20" fillId="0" borderId="13" xfId="0" applyNumberFormat="1" applyFont="1" applyFill="1" applyBorder="1" applyAlignment="1" applyProtection="1">
      <alignment horizontal="center" vertical="center" wrapText="1"/>
    </xf>
    <xf numFmtId="164" fontId="20" fillId="0" borderId="24" xfId="0" applyNumberFormat="1" applyFont="1" applyFill="1" applyBorder="1" applyAlignment="1" applyProtection="1">
      <alignment horizontal="left" vertical="center" wrapText="1" indent="1"/>
    </xf>
    <xf numFmtId="164" fontId="20" fillId="0" borderId="8" xfId="0" applyNumberFormat="1" applyFont="1" applyFill="1" applyBorder="1" applyAlignment="1" applyProtection="1">
      <alignment horizontal="center" vertical="center" wrapText="1"/>
    </xf>
    <xf numFmtId="164" fontId="22" fillId="0" borderId="25" xfId="0" applyNumberFormat="1" applyFont="1" applyFill="1" applyBorder="1" applyAlignment="1" applyProtection="1">
      <alignment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64" fontId="22" fillId="0" borderId="26" xfId="0" applyNumberFormat="1" applyFont="1" applyFill="1" applyBorder="1" applyAlignment="1" applyProtection="1">
      <alignment vertical="center" wrapText="1"/>
    </xf>
    <xf numFmtId="164" fontId="29" fillId="0" borderId="24" xfId="0" applyNumberFormat="1" applyFont="1" applyFill="1" applyBorder="1" applyAlignment="1" applyProtection="1">
      <alignment horizontal="left" vertical="center" wrapText="1" indent="1"/>
    </xf>
    <xf numFmtId="164" fontId="20" fillId="0" borderId="7" xfId="0" applyNumberFormat="1" applyFont="1" applyFill="1" applyBorder="1" applyAlignment="1" applyProtection="1">
      <alignment horizontal="center" vertical="center" wrapText="1"/>
    </xf>
    <xf numFmtId="164" fontId="22" fillId="0" borderId="28" xfId="0" applyNumberFormat="1" applyFont="1" applyFill="1" applyBorder="1" applyAlignment="1" applyProtection="1">
      <alignment vertical="center" wrapText="1"/>
    </xf>
    <xf numFmtId="0" fontId="22" fillId="0" borderId="2" xfId="5" applyFont="1" applyFill="1" applyBorder="1" applyAlignment="1" applyProtection="1">
      <alignment horizontal="left" vertical="center" indent="1"/>
    </xf>
    <xf numFmtId="0" fontId="22" fillId="0" borderId="3" xfId="5" applyFont="1" applyFill="1" applyBorder="1" applyAlignment="1" applyProtection="1">
      <alignment horizontal="left" vertical="center" wrapText="1" indent="1"/>
    </xf>
    <xf numFmtId="0" fontId="22" fillId="0" borderId="2" xfId="5" applyFont="1" applyFill="1" applyBorder="1" applyAlignment="1" applyProtection="1">
      <alignment horizontal="left" vertical="center" wrapText="1" indent="1"/>
    </xf>
    <xf numFmtId="0" fontId="22" fillId="0" borderId="3" xfId="5" applyFont="1" applyFill="1" applyBorder="1" applyAlignment="1" applyProtection="1">
      <alignment horizontal="left" vertical="center" indent="1"/>
    </xf>
    <xf numFmtId="0" fontId="8" fillId="0" borderId="14" xfId="5" applyFont="1" applyFill="1" applyBorder="1" applyAlignment="1" applyProtection="1">
      <alignment horizontal="left" indent="1"/>
    </xf>
    <xf numFmtId="164" fontId="30" fillId="0" borderId="49" xfId="4" applyNumberFormat="1" applyFont="1" applyFill="1" applyBorder="1" applyAlignment="1" applyProtection="1">
      <alignment horizontal="right" vertical="center" wrapText="1" indent="1"/>
      <protection locked="0"/>
    </xf>
    <xf numFmtId="0" fontId="26" fillId="0" borderId="15" xfId="0" applyFont="1" applyFill="1" applyBorder="1" applyAlignment="1" applyProtection="1">
      <alignment horizontal="center" vertical="center" wrapText="1"/>
    </xf>
    <xf numFmtId="0" fontId="28" fillId="0" borderId="14" xfId="0" applyFont="1" applyBorder="1" applyAlignment="1" applyProtection="1">
      <alignment horizontal="left" vertical="center" wrapText="1" indent="1"/>
    </xf>
    <xf numFmtId="0" fontId="27" fillId="0" borderId="2" xfId="0" applyFont="1" applyBorder="1" applyAlignment="1" applyProtection="1">
      <alignment horizontal="left" vertical="center" wrapText="1" indent="1"/>
    </xf>
    <xf numFmtId="0" fontId="27" fillId="0" borderId="6" xfId="0" applyFont="1" applyBorder="1" applyAlignment="1" applyProtection="1">
      <alignment horizontal="left" vertical="center" wrapText="1" indent="1"/>
    </xf>
    <xf numFmtId="0" fontId="28" fillId="0" borderId="22" xfId="0" applyFont="1" applyBorder="1" applyAlignment="1" applyProtection="1">
      <alignment horizontal="left" vertical="center" wrapText="1" indent="1"/>
    </xf>
    <xf numFmtId="164" fontId="20" fillId="0" borderId="32" xfId="4" applyNumberFormat="1" applyFont="1" applyFill="1" applyBorder="1" applyAlignment="1" applyProtection="1">
      <alignment horizontal="right" vertical="center" wrapText="1" indent="1"/>
    </xf>
    <xf numFmtId="164" fontId="20" fillId="0" borderId="21" xfId="4" applyNumberFormat="1" applyFont="1" applyFill="1" applyBorder="1" applyAlignment="1" applyProtection="1">
      <alignment horizontal="right" vertical="center" wrapText="1" indent="1"/>
    </xf>
    <xf numFmtId="164" fontId="22" fillId="0" borderId="20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6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29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8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16" xfId="4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21" xfId="4" applyNumberFormat="1" applyFont="1" applyFill="1" applyBorder="1" applyAlignment="1" applyProtection="1">
      <alignment horizontal="right" vertical="center" wrapText="1" indent="1"/>
    </xf>
    <xf numFmtId="164" fontId="7" fillId="0" borderId="0" xfId="4" applyNumberFormat="1" applyFont="1" applyFill="1" applyBorder="1" applyAlignment="1" applyProtection="1">
      <alignment horizontal="right" vertical="center" wrapText="1" indent="1"/>
    </xf>
    <xf numFmtId="164" fontId="22" fillId="0" borderId="31" xfId="4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21" xfId="0" applyNumberFormat="1" applyFont="1" applyBorder="1" applyAlignment="1" applyProtection="1">
      <alignment horizontal="right" vertical="center" wrapText="1" indent="1"/>
    </xf>
    <xf numFmtId="0" fontId="6" fillId="0" borderId="37" xfId="0" applyFont="1" applyFill="1" applyBorder="1" applyAlignment="1" applyProtection="1">
      <alignment horizontal="right" vertical="center"/>
    </xf>
    <xf numFmtId="164" fontId="22" fillId="0" borderId="3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51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6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14" xfId="0" applyNumberFormat="1" applyFont="1" applyFill="1" applyBorder="1" applyAlignment="1" applyProtection="1">
      <alignment horizontal="right" vertical="center" wrapText="1" indent="1"/>
    </xf>
    <xf numFmtId="164" fontId="30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29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8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21" xfId="0" applyNumberFormat="1" applyFont="1" applyFill="1" applyBorder="1" applyAlignment="1" applyProtection="1">
      <alignment horizontal="right" vertical="center" wrapText="1" indent="1"/>
    </xf>
    <xf numFmtId="164" fontId="30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0" xfId="0" applyNumberFormat="1" applyFont="1" applyFill="1" applyAlignment="1" applyProtection="1">
      <alignment horizontal="centerContinuous" vertical="center" wrapText="1"/>
    </xf>
    <xf numFmtId="164" fontId="0" fillId="0" borderId="0" xfId="0" applyNumberFormat="1" applyFill="1" applyAlignment="1" applyProtection="1">
      <alignment horizontal="centerContinuous" vertical="center"/>
    </xf>
    <xf numFmtId="164" fontId="6" fillId="0" borderId="0" xfId="0" applyNumberFormat="1" applyFont="1" applyFill="1" applyAlignment="1" applyProtection="1">
      <alignment horizontal="right" vertical="center"/>
    </xf>
    <xf numFmtId="164" fontId="8" fillId="0" borderId="13" xfId="0" applyNumberFormat="1" applyFont="1" applyFill="1" applyBorder="1" applyAlignment="1" applyProtection="1">
      <alignment horizontal="centerContinuous" vertical="center" wrapText="1"/>
    </xf>
    <xf numFmtId="164" fontId="8" fillId="0" borderId="14" xfId="0" applyNumberFormat="1" applyFont="1" applyFill="1" applyBorder="1" applyAlignment="1" applyProtection="1">
      <alignment horizontal="centerContinuous" vertical="center" wrapText="1"/>
    </xf>
    <xf numFmtId="164" fontId="8" fillId="0" borderId="21" xfId="0" applyNumberFormat="1" applyFont="1" applyFill="1" applyBorder="1" applyAlignment="1" applyProtection="1">
      <alignment horizontal="centerContinuous" vertical="center" wrapText="1"/>
    </xf>
    <xf numFmtId="164" fontId="4" fillId="0" borderId="0" xfId="0" applyNumberFormat="1" applyFont="1" applyFill="1" applyAlignment="1" applyProtection="1">
      <alignment horizontal="center" vertical="center" wrapText="1"/>
    </xf>
    <xf numFmtId="164" fontId="29" fillId="0" borderId="24" xfId="0" applyNumberFormat="1" applyFont="1" applyFill="1" applyBorder="1" applyAlignment="1" applyProtection="1">
      <alignment horizontal="center" vertical="center" wrapText="1"/>
    </xf>
    <xf numFmtId="164" fontId="29" fillId="0" borderId="13" xfId="0" applyNumberFormat="1" applyFont="1" applyFill="1" applyBorder="1" applyAlignment="1" applyProtection="1">
      <alignment horizontal="center" vertical="center" wrapText="1"/>
    </xf>
    <xf numFmtId="164" fontId="29" fillId="0" borderId="14" xfId="0" applyNumberFormat="1" applyFont="1" applyFill="1" applyBorder="1" applyAlignment="1" applyProtection="1">
      <alignment horizontal="center" vertical="center" wrapText="1"/>
    </xf>
    <xf numFmtId="164" fontId="29" fillId="0" borderId="21" xfId="0" applyNumberFormat="1" applyFont="1" applyFill="1" applyBorder="1" applyAlignment="1" applyProtection="1">
      <alignment horizontal="center" vertical="center" wrapText="1"/>
    </xf>
    <xf numFmtId="164" fontId="29" fillId="0" borderId="0" xfId="0" applyNumberFormat="1" applyFont="1" applyFill="1" applyAlignment="1" applyProtection="1">
      <alignment horizontal="center" vertical="center" wrapText="1"/>
    </xf>
    <xf numFmtId="164" fontId="0" fillId="0" borderId="27" xfId="0" applyNumberFormat="1" applyFill="1" applyBorder="1" applyAlignment="1" applyProtection="1">
      <alignment horizontal="left" vertical="center" wrapText="1" indent="1"/>
    </xf>
    <xf numFmtId="164" fontId="22" fillId="0" borderId="9" xfId="0" applyNumberFormat="1" applyFont="1" applyFill="1" applyBorder="1" applyAlignment="1" applyProtection="1">
      <alignment horizontal="left" vertical="center" wrapText="1" indent="1"/>
    </xf>
    <xf numFmtId="164" fontId="0" fillId="0" borderId="25" xfId="0" applyNumberFormat="1" applyFill="1" applyBorder="1" applyAlignment="1" applyProtection="1">
      <alignment horizontal="left" vertical="center" wrapText="1" indent="1"/>
    </xf>
    <xf numFmtId="164" fontId="22" fillId="0" borderId="8" xfId="0" applyNumberFormat="1" applyFont="1" applyFill="1" applyBorder="1" applyAlignment="1" applyProtection="1">
      <alignment horizontal="left" vertical="center" wrapText="1" indent="1"/>
    </xf>
    <xf numFmtId="164" fontId="22" fillId="0" borderId="52" xfId="0" applyNumberFormat="1" applyFont="1" applyFill="1" applyBorder="1" applyAlignment="1" applyProtection="1">
      <alignment horizontal="left" vertical="center" wrapText="1" indent="1"/>
    </xf>
    <xf numFmtId="164" fontId="32" fillId="0" borderId="24" xfId="0" applyNumberFormat="1" applyFont="1" applyFill="1" applyBorder="1" applyAlignment="1" applyProtection="1">
      <alignment horizontal="left" vertical="center" wrapText="1" indent="1"/>
    </xf>
    <xf numFmtId="164" fontId="1" fillId="0" borderId="28" xfId="0" applyNumberFormat="1" applyFont="1" applyFill="1" applyBorder="1" applyAlignment="1" applyProtection="1">
      <alignment horizontal="left" vertical="center" wrapText="1" indent="1"/>
    </xf>
    <xf numFmtId="164" fontId="30" fillId="0" borderId="7" xfId="0" applyNumberFormat="1" applyFont="1" applyFill="1" applyBorder="1" applyAlignment="1" applyProtection="1">
      <alignment horizontal="left" vertical="center" wrapText="1" indent="1"/>
    </xf>
    <xf numFmtId="164" fontId="30" fillId="0" borderId="8" xfId="0" applyNumberFormat="1" applyFont="1" applyFill="1" applyBorder="1" applyAlignment="1" applyProtection="1">
      <alignment horizontal="left" vertical="center" wrapText="1" indent="1"/>
    </xf>
    <xf numFmtId="164" fontId="1" fillId="0" borderId="25" xfId="0" applyNumberFormat="1" applyFont="1" applyFill="1" applyBorder="1" applyAlignment="1" applyProtection="1">
      <alignment horizontal="left" vertical="center" wrapText="1" indent="1"/>
    </xf>
    <xf numFmtId="164" fontId="34" fillId="0" borderId="2" xfId="0" applyNumberFormat="1" applyFont="1" applyFill="1" applyBorder="1" applyAlignment="1" applyProtection="1">
      <alignment horizontal="right" vertical="center" wrapText="1" indent="1"/>
    </xf>
    <xf numFmtId="164" fontId="32" fillId="0" borderId="13" xfId="0" applyNumberFormat="1" applyFont="1" applyFill="1" applyBorder="1" applyAlignment="1" applyProtection="1">
      <alignment horizontal="left" vertical="center" wrapText="1" indent="1"/>
    </xf>
    <xf numFmtId="164" fontId="32" fillId="0" borderId="38" xfId="0" applyNumberFormat="1" applyFont="1" applyFill="1" applyBorder="1" applyAlignment="1" applyProtection="1">
      <alignment horizontal="right" vertical="center" wrapText="1" indent="1"/>
    </xf>
    <xf numFmtId="164" fontId="29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9" xfId="0" applyNumberFormat="1" applyFont="1" applyFill="1" applyBorder="1" applyAlignment="1" applyProtection="1">
      <alignment horizontal="left" vertical="center" wrapText="1" indent="1"/>
      <protection locked="0"/>
    </xf>
    <xf numFmtId="164" fontId="34" fillId="0" borderId="7" xfId="0" applyNumberFormat="1" applyFont="1" applyFill="1" applyBorder="1" applyAlignment="1" applyProtection="1">
      <alignment horizontal="left" vertical="center" wrapText="1" indent="1"/>
    </xf>
    <xf numFmtId="164" fontId="30" fillId="0" borderId="8" xfId="0" applyNumberFormat="1" applyFont="1" applyFill="1" applyBorder="1" applyAlignment="1" applyProtection="1">
      <alignment horizontal="left" vertical="center" wrapText="1" indent="2"/>
    </xf>
    <xf numFmtId="164" fontId="30" fillId="0" borderId="2" xfId="0" applyNumberFormat="1" applyFont="1" applyFill="1" applyBorder="1" applyAlignment="1" applyProtection="1">
      <alignment horizontal="left" vertical="center" wrapText="1" indent="2"/>
    </xf>
    <xf numFmtId="164" fontId="34" fillId="0" borderId="2" xfId="0" applyNumberFormat="1" applyFont="1" applyFill="1" applyBorder="1" applyAlignment="1" applyProtection="1">
      <alignment horizontal="left" vertical="center" wrapText="1" indent="1"/>
    </xf>
    <xf numFmtId="164" fontId="30" fillId="0" borderId="9" xfId="0" applyNumberFormat="1" applyFont="1" applyFill="1" applyBorder="1" applyAlignment="1" applyProtection="1">
      <alignment horizontal="left" vertical="center" wrapText="1" indent="1"/>
    </xf>
    <xf numFmtId="164" fontId="22" fillId="0" borderId="9" xfId="0" applyNumberFormat="1" applyFont="1" applyFill="1" applyBorder="1" applyAlignment="1" applyProtection="1">
      <alignment horizontal="left" vertical="center" wrapText="1" indent="2"/>
    </xf>
    <xf numFmtId="164" fontId="22" fillId="0" borderId="10" xfId="0" applyNumberFormat="1" applyFont="1" applyFill="1" applyBorder="1" applyAlignment="1" applyProtection="1">
      <alignment horizontal="left" vertical="center" wrapText="1" indent="2"/>
    </xf>
    <xf numFmtId="164" fontId="34" fillId="0" borderId="3" xfId="0" applyNumberFormat="1" applyFont="1" applyFill="1" applyBorder="1" applyAlignment="1" applyProtection="1">
      <alignment horizontal="right" vertical="center" wrapText="1" indent="1"/>
    </xf>
    <xf numFmtId="165" fontId="30" fillId="0" borderId="53" xfId="1" applyNumberFormat="1" applyFont="1" applyFill="1" applyBorder="1" applyProtection="1">
      <protection locked="0"/>
    </xf>
    <xf numFmtId="165" fontId="30" fillId="0" borderId="48" xfId="1" applyNumberFormat="1" applyFont="1" applyFill="1" applyBorder="1" applyProtection="1">
      <protection locked="0"/>
    </xf>
    <xf numFmtId="165" fontId="30" fillId="0" borderId="43" xfId="1" applyNumberFormat="1" applyFont="1" applyFill="1" applyBorder="1" applyProtection="1">
      <protection locked="0"/>
    </xf>
    <xf numFmtId="0" fontId="30" fillId="0" borderId="3" xfId="4" applyFont="1" applyFill="1" applyBorder="1" applyProtection="1"/>
    <xf numFmtId="0" fontId="8" fillId="0" borderId="4" xfId="0" applyFont="1" applyFill="1" applyBorder="1" applyAlignment="1" applyProtection="1">
      <alignment horizontal="center" vertical="center"/>
    </xf>
    <xf numFmtId="0" fontId="8" fillId="0" borderId="30" xfId="0" applyFont="1" applyFill="1" applyBorder="1" applyAlignment="1" applyProtection="1">
      <alignment horizontal="center" vertical="center"/>
    </xf>
    <xf numFmtId="0" fontId="8" fillId="0" borderId="20" xfId="0" quotePrefix="1" applyFont="1" applyFill="1" applyBorder="1" applyAlignment="1" applyProtection="1">
      <alignment horizontal="right" vertical="center" indent="1"/>
    </xf>
    <xf numFmtId="0" fontId="8" fillId="0" borderId="32" xfId="0" applyFont="1" applyFill="1" applyBorder="1" applyAlignment="1" applyProtection="1">
      <alignment horizontal="right" vertical="center" wrapText="1" indent="1"/>
    </xf>
    <xf numFmtId="164" fontId="8" fillId="0" borderId="43" xfId="0" applyNumberFormat="1" applyFont="1" applyFill="1" applyBorder="1" applyAlignment="1" applyProtection="1">
      <alignment horizontal="right" vertical="center" wrapText="1" indent="1"/>
    </xf>
    <xf numFmtId="164" fontId="22" fillId="0" borderId="20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38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38" xfId="0" applyNumberFormat="1" applyFont="1" applyFill="1" applyBorder="1" applyAlignment="1" applyProtection="1">
      <alignment horizontal="right" vertical="center" wrapText="1" indent="1"/>
    </xf>
    <xf numFmtId="164" fontId="20" fillId="0" borderId="0" xfId="0" applyNumberFormat="1" applyFont="1" applyFill="1" applyBorder="1" applyAlignment="1" applyProtection="1">
      <alignment horizontal="right" vertical="center" wrapText="1" indent="1"/>
    </xf>
    <xf numFmtId="0" fontId="22" fillId="0" borderId="0" xfId="0" applyFont="1" applyFill="1" applyAlignment="1" applyProtection="1">
      <alignment horizontal="right" vertical="center" wrapText="1" indent="1"/>
    </xf>
    <xf numFmtId="164" fontId="20" fillId="0" borderId="38" xfId="0" applyNumberFormat="1" applyFont="1" applyFill="1" applyBorder="1" applyAlignment="1" applyProtection="1">
      <alignment horizontal="right" vertical="center" wrapText="1" indent="1"/>
    </xf>
    <xf numFmtId="164" fontId="20" fillId="0" borderId="21" xfId="0" applyNumberFormat="1" applyFont="1" applyFill="1" applyBorder="1" applyAlignment="1" applyProtection="1">
      <alignment horizontal="right" vertical="center" wrapText="1" indent="1"/>
    </xf>
    <xf numFmtId="0" fontId="0" fillId="0" borderId="0" xfId="0" applyFill="1" applyAlignment="1" applyProtection="1">
      <alignment horizontal="right" vertical="center" wrapText="1" indent="1"/>
    </xf>
    <xf numFmtId="49" fontId="8" fillId="0" borderId="20" xfId="0" applyNumberFormat="1" applyFont="1" applyFill="1" applyBorder="1" applyAlignment="1" applyProtection="1">
      <alignment horizontal="right" vertical="center"/>
    </xf>
    <xf numFmtId="49" fontId="8" fillId="0" borderId="54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Alignment="1" applyProtection="1">
      <alignment vertical="center" wrapText="1"/>
    </xf>
    <xf numFmtId="0" fontId="7" fillId="0" borderId="55" xfId="4" applyFont="1" applyFill="1" applyBorder="1" applyAlignment="1" applyProtection="1">
      <alignment horizontal="center" vertical="center" wrapText="1"/>
    </xf>
    <xf numFmtId="0" fontId="7" fillId="0" borderId="55" xfId="4" applyFont="1" applyFill="1" applyBorder="1" applyAlignment="1" applyProtection="1">
      <alignment vertical="center" wrapText="1"/>
    </xf>
    <xf numFmtId="164" fontId="7" fillId="0" borderId="55" xfId="4" applyNumberFormat="1" applyFont="1" applyFill="1" applyBorder="1" applyAlignment="1" applyProtection="1">
      <alignment horizontal="right" vertical="center" wrapText="1" indent="1"/>
    </xf>
    <xf numFmtId="0" fontId="22" fillId="0" borderId="55" xfId="4" applyFont="1" applyFill="1" applyBorder="1" applyAlignment="1" applyProtection="1">
      <alignment horizontal="right" vertical="center" wrapText="1" indent="1"/>
      <protection locked="0"/>
    </xf>
    <xf numFmtId="164" fontId="30" fillId="0" borderId="55" xfId="4" applyNumberFormat="1" applyFont="1" applyFill="1" applyBorder="1" applyAlignment="1" applyProtection="1">
      <alignment horizontal="right" vertical="center" wrapText="1" indent="1"/>
      <protection locked="0"/>
    </xf>
    <xf numFmtId="0" fontId="16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26" fillId="0" borderId="32" xfId="0" applyFont="1" applyFill="1" applyBorder="1" applyAlignment="1" applyProtection="1">
      <alignment vertical="center" wrapText="1"/>
    </xf>
    <xf numFmtId="0" fontId="16" fillId="0" borderId="0" xfId="0" applyFont="1" applyFill="1" applyBorder="1" applyAlignment="1" applyProtection="1">
      <alignment horizontal="center" vertical="center"/>
    </xf>
    <xf numFmtId="0" fontId="46" fillId="0" borderId="0" xfId="0" applyFont="1" applyFill="1" applyBorder="1" applyAlignment="1" applyProtection="1">
      <alignment horizontal="right"/>
    </xf>
    <xf numFmtId="0" fontId="32" fillId="0" borderId="15" xfId="0" applyFont="1" applyBorder="1" applyAlignment="1" applyProtection="1">
      <alignment horizontal="center" vertical="center" wrapText="1"/>
    </xf>
    <xf numFmtId="0" fontId="32" fillId="0" borderId="19" xfId="0" applyFont="1" applyBorder="1" applyAlignment="1" applyProtection="1">
      <alignment horizontal="center" vertical="center"/>
    </xf>
    <xf numFmtId="0" fontId="32" fillId="0" borderId="32" xfId="0" applyFont="1" applyBorder="1" applyAlignment="1" applyProtection="1">
      <alignment horizontal="center" vertical="center" wrapText="1"/>
    </xf>
    <xf numFmtId="0" fontId="26" fillId="0" borderId="23" xfId="0" applyFont="1" applyBorder="1" applyAlignment="1" applyProtection="1">
      <alignment horizontal="left" vertical="center" wrapText="1" indent="1"/>
    </xf>
    <xf numFmtId="0" fontId="12" fillId="0" borderId="0" xfId="4" applyFont="1" applyFill="1" applyProtection="1"/>
    <xf numFmtId="0" fontId="12" fillId="0" borderId="0" xfId="4" applyFont="1" applyFill="1" applyAlignment="1" applyProtection="1">
      <alignment horizontal="right" vertical="center" indent="1"/>
    </xf>
    <xf numFmtId="0" fontId="12" fillId="0" borderId="0" xfId="4" applyFont="1" applyFill="1"/>
    <xf numFmtId="0" fontId="12" fillId="0" borderId="0" xfId="4" applyFont="1" applyFill="1" applyAlignment="1">
      <alignment horizontal="right" vertical="center" indent="1"/>
    </xf>
    <xf numFmtId="0" fontId="41" fillId="0" borderId="2" xfId="0" applyFont="1" applyBorder="1" applyAlignment="1">
      <alignment horizontal="justify" wrapText="1"/>
    </xf>
    <xf numFmtId="0" fontId="41" fillId="0" borderId="2" xfId="0" applyFont="1" applyBorder="1" applyAlignment="1">
      <alignment wrapText="1"/>
    </xf>
    <xf numFmtId="0" fontId="41" fillId="0" borderId="30" xfId="0" applyFont="1" applyBorder="1" applyAlignment="1">
      <alignment wrapText="1"/>
    </xf>
    <xf numFmtId="0" fontId="47" fillId="0" borderId="0" xfId="0" applyFont="1" applyFill="1" applyAlignment="1" applyProtection="1">
      <alignment horizontal="left" vertical="center" wrapText="1"/>
    </xf>
    <xf numFmtId="0" fontId="47" fillId="0" borderId="0" xfId="0" applyFont="1" applyFill="1" applyAlignment="1" applyProtection="1">
      <alignment vertical="center" wrapText="1"/>
    </xf>
    <xf numFmtId="0" fontId="47" fillId="0" borderId="0" xfId="0" applyFont="1" applyFill="1" applyAlignment="1" applyProtection="1">
      <alignment horizontal="right" vertical="center" wrapText="1" indent="1"/>
    </xf>
    <xf numFmtId="0" fontId="17" fillId="0" borderId="0" xfId="0" applyFont="1" applyFill="1" applyAlignment="1" applyProtection="1">
      <alignment horizontal="left" vertical="center" wrapText="1"/>
    </xf>
    <xf numFmtId="0" fontId="17" fillId="0" borderId="0" xfId="0" applyFont="1" applyFill="1" applyAlignment="1" applyProtection="1">
      <alignment vertical="center" wrapText="1"/>
    </xf>
    <xf numFmtId="0" fontId="17" fillId="0" borderId="0" xfId="0" applyFont="1" applyFill="1" applyAlignment="1" applyProtection="1">
      <alignment horizontal="right" vertical="center" wrapText="1" indent="1"/>
    </xf>
    <xf numFmtId="164" fontId="0" fillId="0" borderId="28" xfId="0" applyNumberFormat="1" applyFill="1" applyBorder="1" applyAlignment="1" applyProtection="1">
      <alignment horizontal="left" vertical="center" wrapText="1" indent="1"/>
    </xf>
    <xf numFmtId="164" fontId="22" fillId="0" borderId="7" xfId="0" applyNumberFormat="1" applyFont="1" applyFill="1" applyBorder="1" applyAlignment="1" applyProtection="1">
      <alignment horizontal="left" vertical="center" wrapText="1" indent="1"/>
    </xf>
    <xf numFmtId="164" fontId="22" fillId="0" borderId="56" xfId="0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19" xfId="4" applyNumberFormat="1" applyFont="1" applyFill="1" applyBorder="1" applyAlignment="1" applyProtection="1">
      <alignment horizontal="right" vertical="center" wrapText="1" indent="1"/>
    </xf>
    <xf numFmtId="164" fontId="20" fillId="0" borderId="14" xfId="4" applyNumberFormat="1" applyFont="1" applyFill="1" applyBorder="1" applyAlignment="1" applyProtection="1">
      <alignment horizontal="right" vertical="center" wrapText="1" indent="1"/>
    </xf>
    <xf numFmtId="164" fontId="22" fillId="0" borderId="2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3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6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2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6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18" xfId="4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14" xfId="4" applyNumberFormat="1" applyFont="1" applyFill="1" applyBorder="1" applyAlignment="1" applyProtection="1">
      <alignment horizontal="right" vertical="center" wrapText="1" indent="1"/>
    </xf>
    <xf numFmtId="0" fontId="8" fillId="0" borderId="44" xfId="4" applyFont="1" applyFill="1" applyBorder="1" applyAlignment="1" applyProtection="1">
      <alignment horizontal="center" vertical="center" wrapText="1"/>
    </xf>
    <xf numFmtId="164" fontId="27" fillId="0" borderId="57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58" xfId="0" applyFont="1" applyFill="1" applyBorder="1" applyAlignment="1" applyProtection="1">
      <alignment horizontal="center" vertical="center" wrapText="1"/>
    </xf>
    <xf numFmtId="0" fontId="8" fillId="0" borderId="45" xfId="0" applyFont="1" applyFill="1" applyBorder="1" applyAlignment="1" applyProtection="1">
      <alignment horizontal="center" vertical="center" wrapText="1"/>
    </xf>
    <xf numFmtId="0" fontId="20" fillId="0" borderId="15" xfId="4" applyFont="1" applyFill="1" applyBorder="1" applyAlignment="1" applyProtection="1">
      <alignment horizontal="center" vertical="center" wrapText="1"/>
    </xf>
    <xf numFmtId="0" fontId="20" fillId="0" borderId="19" xfId="4" applyFont="1" applyFill="1" applyBorder="1" applyAlignment="1" applyProtection="1">
      <alignment horizontal="center" vertical="center" wrapText="1"/>
    </xf>
    <xf numFmtId="0" fontId="20" fillId="0" borderId="32" xfId="4" applyFont="1" applyFill="1" applyBorder="1" applyAlignment="1" applyProtection="1">
      <alignment horizontal="center" vertical="center" wrapText="1"/>
    </xf>
    <xf numFmtId="164" fontId="22" fillId="0" borderId="29" xfId="4" applyNumberFormat="1" applyFont="1" applyFill="1" applyBorder="1" applyAlignment="1" applyProtection="1">
      <alignment horizontal="right" vertical="center" wrapText="1" indent="1"/>
    </xf>
    <xf numFmtId="0" fontId="22" fillId="0" borderId="3" xfId="4" applyFont="1" applyFill="1" applyBorder="1" applyAlignment="1" applyProtection="1">
      <alignment horizontal="left" vertical="center" wrapText="1" indent="6"/>
    </xf>
    <xf numFmtId="0" fontId="12" fillId="0" borderId="0" xfId="4" applyFill="1" applyProtection="1"/>
    <xf numFmtId="0" fontId="22" fillId="0" borderId="0" xfId="4" applyFont="1" applyFill="1" applyProtection="1"/>
    <xf numFmtId="0" fontId="15" fillId="0" borderId="0" xfId="4" applyFont="1" applyFill="1" applyProtection="1"/>
    <xf numFmtId="0" fontId="27" fillId="0" borderId="3" xfId="0" applyFont="1" applyBorder="1" applyAlignment="1" applyProtection="1">
      <alignment horizontal="left" wrapText="1" indent="1"/>
    </xf>
    <xf numFmtId="0" fontId="27" fillId="0" borderId="2" xfId="0" applyFont="1" applyBorder="1" applyAlignment="1" applyProtection="1">
      <alignment horizontal="left" wrapText="1" indent="1"/>
    </xf>
    <xf numFmtId="0" fontId="27" fillId="0" borderId="6" xfId="0" applyFont="1" applyBorder="1" applyAlignment="1" applyProtection="1">
      <alignment horizontal="left" wrapText="1" indent="1"/>
    </xf>
    <xf numFmtId="0" fontId="27" fillId="0" borderId="6" xfId="0" applyFont="1" applyBorder="1" applyAlignment="1" applyProtection="1">
      <alignment wrapText="1"/>
    </xf>
    <xf numFmtId="0" fontId="27" fillId="0" borderId="9" xfId="0" applyFont="1" applyBorder="1" applyAlignment="1" applyProtection="1">
      <alignment wrapText="1"/>
    </xf>
    <xf numFmtId="0" fontId="27" fillId="0" borderId="8" xfId="0" applyFont="1" applyBorder="1" applyAlignment="1" applyProtection="1">
      <alignment wrapText="1"/>
    </xf>
    <xf numFmtId="0" fontId="27" fillId="0" borderId="10" xfId="0" applyFont="1" applyBorder="1" applyAlignment="1" applyProtection="1">
      <alignment wrapText="1"/>
    </xf>
    <xf numFmtId="0" fontId="28" fillId="0" borderId="14" xfId="0" applyFont="1" applyBorder="1" applyAlignment="1" applyProtection="1">
      <alignment wrapText="1"/>
    </xf>
    <xf numFmtId="0" fontId="28" fillId="0" borderId="23" xfId="0" applyFont="1" applyBorder="1" applyAlignment="1" applyProtection="1">
      <alignment wrapText="1"/>
    </xf>
    <xf numFmtId="0" fontId="12" fillId="0" borderId="0" xfId="4" applyFill="1" applyAlignment="1" applyProtection="1"/>
    <xf numFmtId="164" fontId="26" fillId="0" borderId="21" xfId="0" quotePrefix="1" applyNumberFormat="1" applyFont="1" applyBorder="1" applyAlignment="1" applyProtection="1">
      <alignment horizontal="right" vertical="center" wrapText="1" indent="1"/>
    </xf>
    <xf numFmtId="0" fontId="25" fillId="0" borderId="0" xfId="4" applyFont="1" applyFill="1" applyProtection="1"/>
    <xf numFmtId="0" fontId="24" fillId="0" borderId="0" xfId="4" applyFont="1" applyFill="1" applyProtection="1"/>
    <xf numFmtId="0" fontId="12" fillId="0" borderId="0" xfId="4" applyFill="1" applyBorder="1" applyProtection="1"/>
    <xf numFmtId="164" fontId="30" fillId="0" borderId="0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8" xfId="0" quotePrefix="1" applyNumberFormat="1" applyFont="1" applyFill="1" applyBorder="1" applyAlignment="1" applyProtection="1">
      <alignment horizontal="left" vertical="center" wrapText="1" indent="3"/>
      <protection locked="0"/>
    </xf>
    <xf numFmtId="164" fontId="22" fillId="0" borderId="7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8" xfId="0" quotePrefix="1" applyNumberFormat="1" applyFont="1" applyFill="1" applyBorder="1" applyAlignment="1" applyProtection="1">
      <alignment horizontal="left" vertical="center" wrapText="1" indent="6"/>
      <protection locked="0"/>
    </xf>
    <xf numFmtId="164" fontId="30" fillId="0" borderId="8" xfId="0" quotePrefix="1" applyNumberFormat="1" applyFont="1" applyFill="1" applyBorder="1" applyAlignment="1" applyProtection="1">
      <alignment horizontal="left" vertical="center" wrapText="1" indent="6"/>
      <protection locked="0"/>
    </xf>
    <xf numFmtId="49" fontId="22" fillId="0" borderId="9" xfId="4" applyNumberFormat="1" applyFont="1" applyFill="1" applyBorder="1" applyAlignment="1" applyProtection="1">
      <alignment horizontal="center" vertical="center" wrapText="1"/>
    </xf>
    <xf numFmtId="49" fontId="22" fillId="0" borderId="8" xfId="4" applyNumberFormat="1" applyFont="1" applyFill="1" applyBorder="1" applyAlignment="1" applyProtection="1">
      <alignment horizontal="center" vertical="center" wrapText="1"/>
    </xf>
    <xf numFmtId="49" fontId="22" fillId="0" borderId="10" xfId="4" applyNumberFormat="1" applyFont="1" applyFill="1" applyBorder="1" applyAlignment="1" applyProtection="1">
      <alignment horizontal="center" vertical="center" wrapText="1"/>
    </xf>
    <xf numFmtId="0" fontId="28" fillId="0" borderId="13" xfId="0" applyFont="1" applyBorder="1" applyAlignment="1" applyProtection="1">
      <alignment horizontal="center" wrapText="1"/>
    </xf>
    <xf numFmtId="0" fontId="27" fillId="0" borderId="9" xfId="0" applyFont="1" applyBorder="1" applyAlignment="1" applyProtection="1">
      <alignment horizontal="center" wrapText="1"/>
    </xf>
    <xf numFmtId="0" fontId="27" fillId="0" borderId="8" xfId="0" applyFont="1" applyBorder="1" applyAlignment="1" applyProtection="1">
      <alignment horizontal="center" wrapText="1"/>
    </xf>
    <xf numFmtId="0" fontId="27" fillId="0" borderId="10" xfId="0" applyFont="1" applyBorder="1" applyAlignment="1" applyProtection="1">
      <alignment horizontal="center" wrapText="1"/>
    </xf>
    <xf numFmtId="0" fontId="28" fillId="0" borderId="22" xfId="0" applyFont="1" applyBorder="1" applyAlignment="1" applyProtection="1">
      <alignment horizontal="center" wrapText="1"/>
    </xf>
    <xf numFmtId="49" fontId="22" fillId="0" borderId="11" xfId="4" applyNumberFormat="1" applyFont="1" applyFill="1" applyBorder="1" applyAlignment="1" applyProtection="1">
      <alignment horizontal="center" vertical="center" wrapText="1"/>
    </xf>
    <xf numFmtId="49" fontId="22" fillId="0" borderId="7" xfId="4" applyNumberFormat="1" applyFont="1" applyFill="1" applyBorder="1" applyAlignment="1" applyProtection="1">
      <alignment horizontal="center" vertical="center" wrapText="1"/>
    </xf>
    <xf numFmtId="49" fontId="22" fillId="0" borderId="12" xfId="4" applyNumberFormat="1" applyFont="1" applyFill="1" applyBorder="1" applyAlignment="1" applyProtection="1">
      <alignment horizontal="center" vertical="center" wrapText="1"/>
    </xf>
    <xf numFmtId="0" fontId="28" fillId="0" borderId="22" xfId="0" applyFont="1" applyBorder="1" applyAlignment="1" applyProtection="1">
      <alignment horizontal="center" vertical="center" wrapText="1"/>
    </xf>
    <xf numFmtId="164" fontId="29" fillId="0" borderId="38" xfId="4" applyNumberFormat="1" applyFont="1" applyFill="1" applyBorder="1" applyAlignment="1" applyProtection="1">
      <alignment horizontal="right" vertical="center" wrapText="1" indent="1"/>
    </xf>
    <xf numFmtId="0" fontId="20" fillId="0" borderId="38" xfId="4" applyFont="1" applyFill="1" applyBorder="1" applyAlignment="1" applyProtection="1">
      <alignment horizontal="center" vertical="center" wrapText="1"/>
    </xf>
    <xf numFmtId="0" fontId="8" fillId="0" borderId="40" xfId="0" applyFont="1" applyFill="1" applyBorder="1" applyAlignment="1" applyProtection="1">
      <alignment horizontal="center" vertical="center" wrapText="1"/>
    </xf>
    <xf numFmtId="49" fontId="30" fillId="0" borderId="11" xfId="0" applyNumberFormat="1" applyFont="1" applyFill="1" applyBorder="1" applyAlignment="1" applyProtection="1">
      <alignment horizontal="center" vertical="center" wrapText="1"/>
    </xf>
    <xf numFmtId="49" fontId="30" fillId="0" borderId="8" xfId="0" applyNumberFormat="1" applyFont="1" applyFill="1" applyBorder="1" applyAlignment="1" applyProtection="1">
      <alignment horizontal="center" vertical="center" wrapText="1"/>
    </xf>
    <xf numFmtId="49" fontId="30" fillId="0" borderId="9" xfId="0" applyNumberFormat="1" applyFont="1" applyFill="1" applyBorder="1" applyAlignment="1" applyProtection="1">
      <alignment horizontal="center" vertical="center" wrapText="1"/>
    </xf>
    <xf numFmtId="0" fontId="30" fillId="0" borderId="3" xfId="4" applyFont="1" applyFill="1" applyBorder="1" applyAlignment="1" applyProtection="1">
      <alignment horizontal="left" vertical="center" wrapText="1" indent="1"/>
    </xf>
    <xf numFmtId="0" fontId="30" fillId="0" borderId="2" xfId="4" applyFont="1" applyFill="1" applyBorder="1" applyAlignment="1" applyProtection="1">
      <alignment horizontal="left" vertical="center" wrapText="1" indent="1"/>
    </xf>
    <xf numFmtId="0" fontId="41" fillId="0" borderId="0" xfId="0" applyFont="1" applyAlignment="1" applyProtection="1">
      <alignment horizontal="right" vertical="top"/>
    </xf>
    <xf numFmtId="0" fontId="7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vertical="center" wrapText="1"/>
    </xf>
    <xf numFmtId="0" fontId="9" fillId="0" borderId="0" xfId="0" applyFont="1" applyFill="1" applyAlignment="1" applyProtection="1">
      <alignment vertical="center" wrapText="1"/>
    </xf>
    <xf numFmtId="164" fontId="30" fillId="0" borderId="29" xfId="4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21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3" xfId="4" applyNumberFormat="1" applyFont="1" applyFill="1" applyBorder="1" applyAlignment="1" applyProtection="1">
      <alignment horizontal="right" vertical="center" wrapText="1" indent="1"/>
      <protection locked="0"/>
    </xf>
    <xf numFmtId="0" fontId="28" fillId="0" borderId="13" xfId="0" applyFont="1" applyBorder="1" applyAlignment="1" applyProtection="1">
      <alignment vertical="center" wrapText="1"/>
    </xf>
    <xf numFmtId="0" fontId="28" fillId="0" borderId="22" xfId="0" applyFont="1" applyBorder="1" applyAlignment="1" applyProtection="1">
      <alignment vertical="center" wrapText="1"/>
    </xf>
    <xf numFmtId="164" fontId="20" fillId="0" borderId="14" xfId="4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38" xfId="4" applyNumberFormat="1" applyFont="1" applyFill="1" applyBorder="1" applyAlignment="1" applyProtection="1">
      <alignment horizontal="right" vertical="center" wrapText="1" indent="1"/>
      <protection locked="0"/>
    </xf>
    <xf numFmtId="0" fontId="32" fillId="0" borderId="13" xfId="4" applyFont="1" applyFill="1" applyBorder="1" applyAlignment="1">
      <alignment horizontal="center" vertical="center"/>
    </xf>
    <xf numFmtId="165" fontId="32" fillId="0" borderId="14" xfId="4" applyNumberFormat="1" applyFont="1" applyFill="1" applyBorder="1"/>
    <xf numFmtId="165" fontId="32" fillId="0" borderId="21" xfId="4" applyNumberFormat="1" applyFont="1" applyFill="1" applyBorder="1"/>
    <xf numFmtId="0" fontId="36" fillId="0" borderId="0" xfId="4" applyFont="1" applyFill="1"/>
    <xf numFmtId="0" fontId="29" fillId="0" borderId="13" xfId="4" applyFont="1" applyFill="1" applyBorder="1" applyAlignment="1" applyProtection="1">
      <alignment horizontal="center" vertical="center"/>
    </xf>
    <xf numFmtId="164" fontId="22" fillId="0" borderId="8" xfId="0" applyNumberFormat="1" applyFont="1" applyFill="1" applyBorder="1" applyAlignment="1" applyProtection="1">
      <alignment horizontal="left" vertical="center" wrapText="1"/>
      <protection locked="0"/>
    </xf>
    <xf numFmtId="49" fontId="2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56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0" xfId="0" applyNumberFormat="1" applyFont="1" applyFill="1" applyAlignment="1" applyProtection="1">
      <alignment horizontal="right"/>
    </xf>
    <xf numFmtId="164" fontId="5" fillId="0" borderId="0" xfId="0" applyNumberFormat="1" applyFont="1" applyFill="1" applyAlignment="1" applyProtection="1">
      <alignment vertical="center"/>
    </xf>
    <xf numFmtId="164" fontId="5" fillId="0" borderId="0" xfId="0" applyNumberFormat="1" applyFont="1" applyFill="1" applyAlignment="1" applyProtection="1">
      <alignment horizontal="center" vertical="center"/>
    </xf>
    <xf numFmtId="164" fontId="5" fillId="0" borderId="0" xfId="0" applyNumberFormat="1" applyFont="1" applyFill="1" applyAlignment="1" applyProtection="1">
      <alignment horizontal="center" vertical="center" wrapText="1"/>
    </xf>
    <xf numFmtId="166" fontId="32" fillId="0" borderId="6" xfId="4" applyNumberFormat="1" applyFont="1" applyFill="1" applyBorder="1" applyAlignment="1">
      <alignment horizontal="center" vertical="center" wrapText="1"/>
    </xf>
    <xf numFmtId="0" fontId="27" fillId="0" borderId="6" xfId="0" applyFont="1" applyBorder="1" applyAlignment="1" applyProtection="1">
      <alignment vertical="center" wrapText="1"/>
    </xf>
    <xf numFmtId="0" fontId="20" fillId="0" borderId="22" xfId="4" applyFont="1" applyFill="1" applyBorder="1" applyAlignment="1" applyProtection="1">
      <alignment horizontal="left" vertical="center" wrapText="1" indent="1"/>
    </xf>
    <xf numFmtId="0" fontId="20" fillId="0" borderId="23" xfId="4" applyFont="1" applyFill="1" applyBorder="1" applyAlignment="1" applyProtection="1">
      <alignment vertical="center" wrapText="1"/>
    </xf>
    <xf numFmtId="164" fontId="20" fillId="0" borderId="39" xfId="4" applyNumberFormat="1" applyFont="1" applyFill="1" applyBorder="1" applyAlignment="1" applyProtection="1">
      <alignment horizontal="right" vertical="center" wrapText="1" indent="1"/>
    </xf>
    <xf numFmtId="0" fontId="22" fillId="0" borderId="30" xfId="4" applyFont="1" applyFill="1" applyBorder="1" applyAlignment="1" applyProtection="1">
      <alignment horizontal="left" vertical="center" wrapText="1" indent="7"/>
    </xf>
    <xf numFmtId="164" fontId="28" fillId="0" borderId="21" xfId="0" applyNumberFormat="1" applyFont="1" applyBorder="1" applyAlignment="1" applyProtection="1">
      <alignment horizontal="right" vertical="center" wrapText="1" indent="1"/>
      <protection locked="0"/>
    </xf>
    <xf numFmtId="0" fontId="20" fillId="0" borderId="13" xfId="4" applyFont="1" applyFill="1" applyBorder="1" applyAlignment="1" applyProtection="1">
      <alignment horizontal="left" vertical="center" wrapText="1"/>
    </xf>
    <xf numFmtId="164" fontId="34" fillId="0" borderId="1" xfId="0" applyNumberFormat="1" applyFont="1" applyFill="1" applyBorder="1" applyAlignment="1" applyProtection="1">
      <alignment horizontal="right" vertical="center" wrapText="1" indent="1"/>
    </xf>
    <xf numFmtId="49" fontId="8" fillId="0" borderId="54" xfId="0" applyNumberFormat="1" applyFont="1" applyFill="1" applyBorder="1" applyAlignment="1" applyProtection="1">
      <alignment horizontal="right" vertical="center" indent="1"/>
    </xf>
    <xf numFmtId="49" fontId="29" fillId="0" borderId="13" xfId="4" applyNumberFormat="1" applyFont="1" applyFill="1" applyBorder="1" applyAlignment="1" applyProtection="1">
      <alignment horizontal="center" vertical="center" wrapText="1"/>
    </xf>
    <xf numFmtId="164" fontId="20" fillId="0" borderId="59" xfId="4" applyNumberFormat="1" applyFont="1" applyFill="1" applyBorder="1" applyAlignment="1" applyProtection="1">
      <alignment horizontal="right" vertical="center" wrapText="1" indent="1"/>
    </xf>
    <xf numFmtId="164" fontId="22" fillId="0" borderId="53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60" xfId="4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54" xfId="4" applyNumberFormat="1" applyFont="1" applyFill="1" applyBorder="1" applyAlignment="1" applyProtection="1">
      <alignment horizontal="right" vertical="center" wrapText="1" indent="1"/>
    </xf>
    <xf numFmtId="164" fontId="28" fillId="0" borderId="38" xfId="0" applyNumberFormat="1" applyFont="1" applyBorder="1" applyAlignment="1" applyProtection="1">
      <alignment horizontal="right" vertical="center" wrapText="1" indent="1"/>
    </xf>
    <xf numFmtId="164" fontId="28" fillId="0" borderId="38" xfId="0" applyNumberFormat="1" applyFont="1" applyBorder="1" applyAlignment="1" applyProtection="1">
      <alignment horizontal="right" vertical="center" wrapText="1" indent="1"/>
      <protection locked="0"/>
    </xf>
    <xf numFmtId="164" fontId="26" fillId="0" borderId="38" xfId="0" quotePrefix="1" applyNumberFormat="1" applyFont="1" applyBorder="1" applyAlignment="1" applyProtection="1">
      <alignment horizontal="right" vertical="center" wrapText="1" indent="1"/>
    </xf>
    <xf numFmtId="164" fontId="22" fillId="0" borderId="4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30" xfId="4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23" xfId="4" applyNumberFormat="1" applyFont="1" applyFill="1" applyBorder="1" applyAlignment="1" applyProtection="1">
      <alignment horizontal="right" vertical="center" wrapText="1" indent="1"/>
    </xf>
    <xf numFmtId="164" fontId="28" fillId="0" borderId="14" xfId="0" applyNumberFormat="1" applyFont="1" applyBorder="1" applyAlignment="1" applyProtection="1">
      <alignment horizontal="right" vertical="center" wrapText="1" indent="1"/>
    </xf>
    <xf numFmtId="164" fontId="28" fillId="0" borderId="14" xfId="0" applyNumberFormat="1" applyFont="1" applyBorder="1" applyAlignment="1" applyProtection="1">
      <alignment horizontal="right" vertical="center" wrapText="1" indent="1"/>
      <protection locked="0"/>
    </xf>
    <xf numFmtId="164" fontId="26" fillId="0" borderId="14" xfId="0" quotePrefix="1" applyNumberFormat="1" applyFont="1" applyBorder="1" applyAlignment="1" applyProtection="1">
      <alignment horizontal="right" vertical="center" wrapText="1" indent="1"/>
    </xf>
    <xf numFmtId="0" fontId="20" fillId="0" borderId="59" xfId="4" applyFont="1" applyFill="1" applyBorder="1" applyAlignment="1" applyProtection="1">
      <alignment horizontal="center" vertical="center" wrapText="1"/>
    </xf>
    <xf numFmtId="0" fontId="29" fillId="0" borderId="23" xfId="4" applyFont="1" applyFill="1" applyBorder="1" applyAlignment="1" applyProtection="1">
      <alignment vertical="center" wrapText="1"/>
    </xf>
    <xf numFmtId="164" fontId="29" fillId="0" borderId="23" xfId="4" applyNumberFormat="1" applyFont="1" applyFill="1" applyBorder="1" applyAlignment="1" applyProtection="1">
      <alignment horizontal="right" vertical="center" wrapText="1" indent="1"/>
    </xf>
    <xf numFmtId="164" fontId="29" fillId="0" borderId="54" xfId="4" applyNumberFormat="1" applyFont="1" applyFill="1" applyBorder="1" applyAlignment="1" applyProtection="1">
      <alignment horizontal="right" vertical="center" wrapText="1" indent="1"/>
    </xf>
    <xf numFmtId="0" fontId="22" fillId="0" borderId="55" xfId="4" applyFont="1" applyFill="1" applyBorder="1" applyAlignment="1" applyProtection="1">
      <alignment horizontal="right" vertical="center" wrapText="1" indent="1"/>
    </xf>
    <xf numFmtId="164" fontId="30" fillId="0" borderId="55" xfId="4" applyNumberFormat="1" applyFont="1" applyFill="1" applyBorder="1" applyAlignment="1" applyProtection="1">
      <alignment horizontal="right" vertical="center" wrapText="1" indent="1"/>
    </xf>
    <xf numFmtId="0" fontId="15" fillId="0" borderId="0" xfId="4" applyFont="1" applyFill="1" applyBorder="1" applyProtection="1"/>
    <xf numFmtId="164" fontId="29" fillId="0" borderId="14" xfId="4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38" xfId="4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14" xfId="0" quotePrefix="1" applyNumberFormat="1" applyFont="1" applyBorder="1" applyAlignment="1" applyProtection="1">
      <alignment horizontal="right" vertical="center" wrapText="1" indent="1"/>
      <protection locked="0"/>
    </xf>
    <xf numFmtId="164" fontId="26" fillId="0" borderId="38" xfId="0" quotePrefix="1" applyNumberFormat="1" applyFont="1" applyBorder="1" applyAlignment="1" applyProtection="1">
      <alignment horizontal="right" vertical="center" wrapText="1" indent="1"/>
      <protection locked="0"/>
    </xf>
    <xf numFmtId="0" fontId="27" fillId="0" borderId="6" xfId="0" applyFont="1" applyBorder="1" applyAlignment="1" applyProtection="1">
      <alignment horizontal="left" indent="1"/>
    </xf>
    <xf numFmtId="0" fontId="29" fillId="0" borderId="14" xfId="4" applyFont="1" applyFill="1" applyBorder="1" applyAlignment="1" applyProtection="1">
      <alignment horizontal="center" vertical="center"/>
    </xf>
    <xf numFmtId="0" fontId="29" fillId="0" borderId="21" xfId="4" applyFont="1" applyFill="1" applyBorder="1" applyAlignment="1" applyProtection="1">
      <alignment horizontal="center" vertical="center"/>
    </xf>
    <xf numFmtId="164" fontId="8" fillId="0" borderId="21" xfId="0" applyNumberFormat="1" applyFont="1" applyFill="1" applyBorder="1" applyAlignment="1" applyProtection="1">
      <alignment horizontal="center" wrapText="1"/>
    </xf>
    <xf numFmtId="0" fontId="27" fillId="0" borderId="6" xfId="0" applyFont="1" applyBorder="1" applyAlignment="1" applyProtection="1"/>
    <xf numFmtId="164" fontId="29" fillId="0" borderId="39" xfId="0" applyNumberFormat="1" applyFont="1" applyFill="1" applyBorder="1" applyAlignment="1" applyProtection="1">
      <alignment horizontal="center" vertical="center" wrapText="1"/>
    </xf>
    <xf numFmtId="164" fontId="20" fillId="0" borderId="39" xfId="0" applyNumberFormat="1" applyFont="1" applyFill="1" applyBorder="1" applyAlignment="1" applyProtection="1">
      <alignment horizontal="center" vertical="center" wrapText="1"/>
    </xf>
    <xf numFmtId="0" fontId="29" fillId="0" borderId="36" xfId="4" applyFont="1" applyFill="1" applyBorder="1" applyAlignment="1" applyProtection="1">
      <alignment horizontal="left" vertical="center" wrapText="1" indent="1"/>
    </xf>
    <xf numFmtId="164" fontId="29" fillId="0" borderId="39" xfId="0" applyNumberFormat="1" applyFont="1" applyFill="1" applyBorder="1" applyAlignment="1" applyProtection="1">
      <alignment horizontal="right" vertical="center" wrapText="1" indent="1"/>
    </xf>
    <xf numFmtId="49" fontId="30" fillId="0" borderId="10" xfId="0" applyNumberFormat="1" applyFont="1" applyFill="1" applyBorder="1" applyAlignment="1" applyProtection="1">
      <alignment horizontal="center" vertical="center" wrapText="1"/>
    </xf>
    <xf numFmtId="0" fontId="29" fillId="0" borderId="22" xfId="0" applyFont="1" applyFill="1" applyBorder="1" applyAlignment="1" applyProtection="1">
      <alignment horizontal="center" vertical="center" wrapText="1"/>
    </xf>
    <xf numFmtId="0" fontId="29" fillId="0" borderId="23" xfId="4" applyFont="1" applyFill="1" applyBorder="1" applyAlignment="1" applyProtection="1">
      <alignment horizontal="left" vertical="center" wrapText="1" indent="1"/>
    </xf>
    <xf numFmtId="164" fontId="22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32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32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7" xfId="4" applyNumberFormat="1" applyFont="1" applyFill="1" applyBorder="1" applyAlignment="1" applyProtection="1">
      <alignment horizontal="right" vertical="center" wrapText="1" indent="1"/>
      <protection locked="0"/>
    </xf>
    <xf numFmtId="49" fontId="29" fillId="0" borderId="22" xfId="4" applyNumberFormat="1" applyFont="1" applyFill="1" applyBorder="1" applyAlignment="1" applyProtection="1">
      <alignment horizontal="center" vertical="center" wrapText="1"/>
    </xf>
    <xf numFmtId="164" fontId="22" fillId="0" borderId="38" xfId="4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19" xfId="0" applyFont="1" applyBorder="1" applyAlignment="1" applyProtection="1">
      <alignment horizontal="left" vertical="center" indent="1"/>
      <protection locked="0"/>
    </xf>
    <xf numFmtId="0" fontId="30" fillId="0" borderId="3" xfId="0" applyFont="1" applyBorder="1" applyAlignment="1" applyProtection="1">
      <alignment horizontal="left" vertical="center" indent="1"/>
      <protection locked="0"/>
    </xf>
    <xf numFmtId="0" fontId="30" fillId="0" borderId="1" xfId="0" applyFont="1" applyBorder="1" applyAlignment="1" applyProtection="1">
      <alignment horizontal="left" vertical="center" indent="1"/>
      <protection locked="0"/>
    </xf>
    <xf numFmtId="164" fontId="2" fillId="0" borderId="0" xfId="0" applyNumberFormat="1" applyFont="1" applyFill="1" applyAlignment="1">
      <alignment vertical="center" wrapText="1"/>
    </xf>
    <xf numFmtId="165" fontId="2" fillId="0" borderId="0" xfId="1" applyNumberFormat="1" applyFont="1" applyFill="1" applyAlignment="1">
      <alignment vertical="center" wrapText="1"/>
    </xf>
    <xf numFmtId="165" fontId="43" fillId="0" borderId="0" xfId="1" applyNumberFormat="1" applyFont="1" applyFill="1" applyAlignment="1">
      <alignment vertical="center" wrapText="1"/>
    </xf>
    <xf numFmtId="0" fontId="43" fillId="0" borderId="0" xfId="0" applyFont="1" applyFill="1" applyAlignment="1">
      <alignment vertical="center" wrapText="1"/>
    </xf>
    <xf numFmtId="165" fontId="43" fillId="0" borderId="0" xfId="0" applyNumberFormat="1" applyFont="1" applyFill="1" applyAlignment="1">
      <alignment vertical="center" wrapText="1"/>
    </xf>
    <xf numFmtId="165" fontId="0" fillId="0" borderId="0" xfId="1" applyNumberFormat="1" applyFont="1" applyFill="1" applyAlignment="1">
      <alignment vertical="center" wrapText="1"/>
    </xf>
    <xf numFmtId="0" fontId="22" fillId="0" borderId="6" xfId="4" applyFont="1" applyFill="1" applyBorder="1" applyAlignment="1" applyProtection="1">
      <alignment horizontal="left" vertical="center" wrapText="1" indent="7"/>
    </xf>
    <xf numFmtId="0" fontId="22" fillId="0" borderId="15" xfId="5" applyFont="1" applyFill="1" applyBorder="1" applyAlignment="1" applyProtection="1">
      <alignment horizontal="left" vertical="center" indent="1"/>
    </xf>
    <xf numFmtId="0" fontId="22" fillId="0" borderId="19" xfId="5" applyFont="1" applyFill="1" applyBorder="1" applyAlignment="1" applyProtection="1">
      <alignment horizontal="left" vertical="center" wrapText="1" indent="1"/>
    </xf>
    <xf numFmtId="164" fontId="22" fillId="0" borderId="19" xfId="5" applyNumberFormat="1" applyFont="1" applyFill="1" applyBorder="1" applyAlignment="1" applyProtection="1">
      <alignment vertical="center"/>
      <protection locked="0"/>
    </xf>
    <xf numFmtId="164" fontId="22" fillId="0" borderId="20" xfId="5" applyNumberFormat="1" applyFont="1" applyFill="1" applyBorder="1" applyAlignment="1" applyProtection="1">
      <alignment vertical="center"/>
    </xf>
    <xf numFmtId="164" fontId="22" fillId="0" borderId="4" xfId="5" applyNumberFormat="1" applyFont="1" applyFill="1" applyBorder="1" applyAlignment="1" applyProtection="1">
      <alignment vertical="center"/>
      <protection locked="0"/>
    </xf>
    <xf numFmtId="0" fontId="22" fillId="0" borderId="10" xfId="5" applyFont="1" applyFill="1" applyBorder="1" applyAlignment="1" applyProtection="1">
      <alignment horizontal="left" vertical="center" indent="1"/>
    </xf>
    <xf numFmtId="0" fontId="22" fillId="0" borderId="6" xfId="5" applyFont="1" applyFill="1" applyBorder="1" applyAlignment="1" applyProtection="1">
      <alignment horizontal="left" vertical="center" indent="1"/>
    </xf>
    <xf numFmtId="164" fontId="22" fillId="0" borderId="6" xfId="5" applyNumberFormat="1" applyFont="1" applyFill="1" applyBorder="1" applyAlignment="1" applyProtection="1">
      <alignment vertical="center"/>
      <protection locked="0"/>
    </xf>
    <xf numFmtId="164" fontId="22" fillId="0" borderId="18" xfId="5" applyNumberFormat="1" applyFont="1" applyFill="1" applyBorder="1" applyAlignment="1" applyProtection="1">
      <alignment vertical="center"/>
    </xf>
    <xf numFmtId="0" fontId="28" fillId="0" borderId="34" xfId="0" applyFont="1" applyFill="1" applyBorder="1" applyAlignment="1" applyProtection="1">
      <alignment horizontal="left" vertical="center" wrapText="1"/>
      <protection locked="0"/>
    </xf>
    <xf numFmtId="164" fontId="28" fillId="0" borderId="57" xfId="0" applyNumberFormat="1" applyFont="1" applyFill="1" applyBorder="1" applyAlignment="1" applyProtection="1">
      <alignment horizontal="right" vertical="center" wrapText="1"/>
      <protection locked="0"/>
    </xf>
    <xf numFmtId="164" fontId="48" fillId="0" borderId="57" xfId="0" applyNumberFormat="1" applyFont="1" applyFill="1" applyBorder="1" applyAlignment="1" applyProtection="1">
      <alignment horizontal="right" vertical="center" wrapText="1"/>
      <protection locked="0"/>
    </xf>
    <xf numFmtId="164" fontId="49" fillId="0" borderId="57" xfId="0" applyNumberFormat="1" applyFont="1" applyFill="1" applyBorder="1" applyAlignment="1" applyProtection="1">
      <alignment horizontal="right" vertical="center" wrapText="1"/>
      <protection locked="0"/>
    </xf>
    <xf numFmtId="0" fontId="28" fillId="0" borderId="35" xfId="0" applyFont="1" applyFill="1" applyBorder="1" applyAlignment="1" applyProtection="1">
      <alignment horizontal="left" vertical="center" wrapText="1"/>
      <protection locked="0"/>
    </xf>
    <xf numFmtId="164" fontId="30" fillId="0" borderId="7" xfId="0" applyNumberFormat="1" applyFont="1" applyFill="1" applyBorder="1" applyAlignment="1" applyProtection="1">
      <alignment horizontal="left" vertical="center" wrapText="1"/>
      <protection locked="0"/>
    </xf>
    <xf numFmtId="0" fontId="27" fillId="0" borderId="67" xfId="0" applyFont="1" applyFill="1" applyBorder="1" applyAlignment="1" applyProtection="1">
      <alignment horizontal="left" vertical="center" wrapText="1" indent="1"/>
    </xf>
    <xf numFmtId="164" fontId="30" fillId="0" borderId="67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20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48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1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165" fontId="2" fillId="0" borderId="0" xfId="0" applyNumberFormat="1" applyFont="1" applyFill="1" applyAlignment="1">
      <alignment vertical="center" wrapText="1"/>
    </xf>
    <xf numFmtId="49" fontId="22" fillId="0" borderId="5" xfId="4" applyNumberFormat="1" applyFont="1" applyFill="1" applyBorder="1" applyAlignment="1" applyProtection="1">
      <alignment horizontal="left" vertical="center" wrapText="1" indent="1"/>
    </xf>
    <xf numFmtId="164" fontId="22" fillId="0" borderId="63" xfId="0" applyNumberFormat="1" applyFont="1" applyFill="1" applyBorder="1" applyAlignment="1" applyProtection="1">
      <alignment vertical="center" wrapText="1"/>
    </xf>
    <xf numFmtId="164" fontId="22" fillId="0" borderId="64" xfId="0" applyNumberFormat="1" applyFont="1" applyFill="1" applyBorder="1" applyAlignment="1" applyProtection="1">
      <alignment vertical="center" wrapText="1"/>
    </xf>
    <xf numFmtId="164" fontId="22" fillId="0" borderId="11" xfId="0" applyNumberFormat="1" applyFont="1" applyFill="1" applyBorder="1" applyAlignment="1" applyProtection="1">
      <alignment vertical="center" wrapText="1"/>
      <protection locked="0"/>
    </xf>
    <xf numFmtId="164" fontId="22" fillId="0" borderId="4" xfId="0" applyNumberFormat="1" applyFont="1" applyFill="1" applyBorder="1" applyAlignment="1" applyProtection="1">
      <alignment vertical="center" wrapText="1"/>
      <protection locked="0"/>
    </xf>
    <xf numFmtId="164" fontId="22" fillId="0" borderId="20" xfId="0" applyNumberFormat="1" applyFont="1" applyFill="1" applyBorder="1" applyAlignment="1" applyProtection="1">
      <alignment vertical="center" wrapText="1"/>
      <protection locked="0"/>
    </xf>
    <xf numFmtId="164" fontId="22" fillId="0" borderId="22" xfId="0" applyNumberFormat="1" applyFont="1" applyFill="1" applyBorder="1" applyAlignment="1" applyProtection="1">
      <alignment vertical="center" wrapText="1"/>
      <protection locked="0"/>
    </xf>
    <xf numFmtId="164" fontId="22" fillId="0" borderId="23" xfId="0" applyNumberFormat="1" applyFont="1" applyFill="1" applyBorder="1" applyAlignment="1" applyProtection="1">
      <alignment vertical="center" wrapText="1"/>
      <protection locked="0"/>
    </xf>
    <xf numFmtId="164" fontId="22" fillId="0" borderId="39" xfId="0" applyNumberFormat="1" applyFont="1" applyFill="1" applyBorder="1" applyAlignment="1" applyProtection="1">
      <alignment vertical="center" wrapText="1"/>
      <protection locked="0"/>
    </xf>
    <xf numFmtId="164" fontId="22" fillId="0" borderId="69" xfId="0" applyNumberFormat="1" applyFont="1" applyFill="1" applyBorder="1" applyAlignment="1" applyProtection="1">
      <alignment vertical="center" wrapText="1"/>
      <protection locked="0"/>
    </xf>
    <xf numFmtId="164" fontId="22" fillId="0" borderId="0" xfId="0" applyNumberFormat="1" applyFont="1" applyFill="1" applyBorder="1" applyAlignment="1" applyProtection="1">
      <alignment vertical="center" wrapText="1"/>
      <protection locked="0"/>
    </xf>
    <xf numFmtId="49" fontId="15" fillId="0" borderId="63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5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62" xfId="0" applyNumberFormat="1" applyFont="1" applyFill="1" applyBorder="1" applyAlignment="1" applyProtection="1">
      <alignment horizontal="center" vertical="center" wrapText="1"/>
      <protection locked="0"/>
    </xf>
    <xf numFmtId="164" fontId="22" fillId="0" borderId="69" xfId="0" applyNumberFormat="1" applyFont="1" applyFill="1" applyBorder="1" applyAlignment="1" applyProtection="1">
      <alignment horizontal="left" vertical="center" wrapText="1" indent="1"/>
      <protection locked="0"/>
    </xf>
    <xf numFmtId="164" fontId="20" fillId="0" borderId="63" xfId="0" applyNumberFormat="1" applyFont="1" applyFill="1" applyBorder="1" applyAlignment="1" applyProtection="1">
      <alignment horizontal="center" vertical="center" wrapText="1"/>
    </xf>
    <xf numFmtId="164" fontId="20" fillId="0" borderId="25" xfId="0" applyNumberFormat="1" applyFont="1" applyFill="1" applyBorder="1" applyAlignment="1" applyProtection="1">
      <alignment horizontal="center" vertical="center" wrapText="1"/>
    </xf>
    <xf numFmtId="164" fontId="20" fillId="0" borderId="62" xfId="0" applyNumberFormat="1" applyFont="1" applyFill="1" applyBorder="1" applyAlignment="1" applyProtection="1">
      <alignment horizontal="center" vertical="center" wrapText="1"/>
    </xf>
    <xf numFmtId="49" fontId="15" fillId="0" borderId="69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46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42" xfId="0" applyNumberFormat="1" applyFont="1" applyFill="1" applyBorder="1" applyAlignment="1" applyProtection="1">
      <alignment horizontal="center" vertical="center" wrapText="1"/>
      <protection locked="0"/>
    </xf>
    <xf numFmtId="164" fontId="15" fillId="2" borderId="46" xfId="0" applyNumberFormat="1" applyFont="1" applyFill="1" applyBorder="1" applyAlignment="1" applyProtection="1">
      <alignment horizontal="left" vertical="center" wrapText="1" indent="2"/>
    </xf>
    <xf numFmtId="49" fontId="22" fillId="0" borderId="36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51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36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7" xfId="6" applyNumberFormat="1" applyFont="1" applyFill="1" applyBorder="1" applyAlignment="1" applyProtection="1">
      <alignment horizontal="center" vertical="center" wrapText="1"/>
      <protection locked="0"/>
    </xf>
    <xf numFmtId="49" fontId="15" fillId="0" borderId="25" xfId="6" applyNumberFormat="1" applyFont="1" applyFill="1" applyBorder="1" applyAlignment="1" applyProtection="1">
      <alignment horizontal="center" vertical="center" wrapText="1"/>
      <protection locked="0"/>
    </xf>
    <xf numFmtId="49" fontId="15" fillId="0" borderId="62" xfId="6" applyNumberFormat="1" applyFont="1" applyFill="1" applyBorder="1" applyAlignment="1" applyProtection="1">
      <alignment horizontal="center" vertical="center" wrapText="1"/>
      <protection locked="0"/>
    </xf>
    <xf numFmtId="164" fontId="6" fillId="0" borderId="0" xfId="0" applyNumberFormat="1" applyFont="1" applyFill="1" applyAlignment="1" applyProtection="1">
      <alignment horizontal="right" shrinkToFit="1"/>
    </xf>
    <xf numFmtId="164" fontId="34" fillId="0" borderId="8" xfId="0" applyNumberFormat="1" applyFont="1" applyFill="1" applyBorder="1" applyAlignment="1" applyProtection="1">
      <alignment horizontal="left" vertical="center" wrapText="1"/>
      <protection locked="0"/>
    </xf>
    <xf numFmtId="164" fontId="34" fillId="0" borderId="2" xfId="0" applyNumberFormat="1" applyFont="1" applyFill="1" applyBorder="1" applyAlignment="1" applyProtection="1">
      <alignment vertical="center" wrapText="1"/>
      <protection locked="0"/>
    </xf>
    <xf numFmtId="49" fontId="34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27" xfId="0" applyNumberFormat="1" applyFont="1" applyFill="1" applyBorder="1" applyAlignment="1" applyProtection="1">
      <alignment horizontal="center" vertical="center" wrapText="1"/>
    </xf>
    <xf numFmtId="49" fontId="15" fillId="0" borderId="27" xfId="0" applyNumberFormat="1" applyFont="1" applyFill="1" applyBorder="1" applyAlignment="1" applyProtection="1">
      <alignment horizontal="center" vertical="center" wrapText="1"/>
      <protection locked="0"/>
    </xf>
    <xf numFmtId="164" fontId="22" fillId="0" borderId="9" xfId="0" applyNumberFormat="1" applyFont="1" applyFill="1" applyBorder="1" applyAlignment="1" applyProtection="1">
      <alignment vertical="center" wrapText="1"/>
      <protection locked="0"/>
    </xf>
    <xf numFmtId="164" fontId="22" fillId="0" borderId="3" xfId="0" applyNumberFormat="1" applyFont="1" applyFill="1" applyBorder="1" applyAlignment="1" applyProtection="1">
      <alignment vertical="center" wrapText="1"/>
      <protection locked="0"/>
    </xf>
    <xf numFmtId="164" fontId="22" fillId="0" borderId="29" xfId="0" applyNumberFormat="1" applyFont="1" applyFill="1" applyBorder="1" applyAlignment="1" applyProtection="1">
      <alignment vertical="center" wrapText="1"/>
      <protection locked="0"/>
    </xf>
    <xf numFmtId="164" fontId="22" fillId="0" borderId="27" xfId="0" applyNumberFormat="1" applyFont="1" applyFill="1" applyBorder="1" applyAlignment="1" applyProtection="1">
      <alignment vertical="center" wrapText="1"/>
    </xf>
    <xf numFmtId="0" fontId="24" fillId="0" borderId="0" xfId="0" applyFont="1" applyFill="1" applyAlignment="1" applyProtection="1">
      <alignment horizontal="left" vertical="center"/>
    </xf>
    <xf numFmtId="0" fontId="30" fillId="0" borderId="4" xfId="4" applyFont="1" applyFill="1" applyBorder="1" applyAlignment="1" applyProtection="1">
      <alignment wrapText="1"/>
      <protection locked="0"/>
    </xf>
    <xf numFmtId="0" fontId="30" fillId="0" borderId="2" xfId="4" applyFont="1" applyFill="1" applyBorder="1" applyAlignment="1" applyProtection="1">
      <alignment wrapText="1"/>
      <protection locked="0"/>
    </xf>
    <xf numFmtId="0" fontId="30" fillId="0" borderId="6" xfId="4" applyFont="1" applyFill="1" applyBorder="1" applyAlignment="1" applyProtection="1">
      <alignment wrapText="1"/>
      <protection locked="0"/>
    </xf>
    <xf numFmtId="0" fontId="15" fillId="0" borderId="3" xfId="4" applyFont="1" applyFill="1" applyBorder="1" applyAlignment="1" applyProtection="1">
      <alignment wrapText="1"/>
      <protection locked="0"/>
    </xf>
    <xf numFmtId="165" fontId="15" fillId="0" borderId="3" xfId="1" applyNumberFormat="1" applyFont="1" applyFill="1" applyBorder="1" applyAlignment="1" applyProtection="1">
      <alignment horizontal="center" vertical="center"/>
      <protection locked="0"/>
    </xf>
    <xf numFmtId="165" fontId="15" fillId="0" borderId="29" xfId="1" applyNumberFormat="1" applyFont="1" applyFill="1" applyBorder="1" applyAlignment="1">
      <alignment horizontal="center" vertical="center"/>
    </xf>
    <xf numFmtId="164" fontId="22" fillId="0" borderId="69" xfId="6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0" xfId="6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4" xfId="0" applyFont="1" applyBorder="1" applyAlignment="1" applyProtection="1">
      <alignment horizontal="left" vertical="center" wrapText="1" indent="1"/>
      <protection locked="0"/>
    </xf>
    <xf numFmtId="164" fontId="22" fillId="0" borderId="8" xfId="0" applyNumberFormat="1" applyFont="1" applyFill="1" applyBorder="1" applyAlignment="1" applyProtection="1">
      <alignment horizontal="left" vertical="center" wrapText="1" shrinkToFit="1"/>
      <protection locked="0"/>
    </xf>
    <xf numFmtId="164" fontId="19" fillId="0" borderId="8" xfId="0" applyNumberFormat="1" applyFont="1" applyFill="1" applyBorder="1" applyAlignment="1" applyProtection="1">
      <alignment horizontal="left" vertical="center" shrinkToFit="1"/>
      <protection locked="0"/>
    </xf>
    <xf numFmtId="164" fontId="22" fillId="0" borderId="10" xfId="0" applyNumberFormat="1" applyFont="1" applyFill="1" applyBorder="1" applyAlignment="1" applyProtection="1">
      <alignment horizontal="left" vertical="center" shrinkToFit="1"/>
      <protection locked="0"/>
    </xf>
    <xf numFmtId="164" fontId="7" fillId="0" borderId="0" xfId="4" applyNumberFormat="1" applyFont="1" applyFill="1" applyBorder="1" applyAlignment="1" applyProtection="1">
      <alignment horizontal="center" vertical="center"/>
    </xf>
    <xf numFmtId="164" fontId="37" fillId="0" borderId="37" xfId="4" applyNumberFormat="1" applyFont="1" applyFill="1" applyBorder="1" applyAlignment="1" applyProtection="1">
      <alignment horizontal="left" vertical="center"/>
    </xf>
    <xf numFmtId="164" fontId="37" fillId="0" borderId="37" xfId="4" applyNumberFormat="1" applyFont="1" applyFill="1" applyBorder="1" applyAlignment="1" applyProtection="1">
      <alignment horizontal="left"/>
    </xf>
    <xf numFmtId="0" fontId="24" fillId="0" borderId="0" xfId="4" applyFont="1" applyFill="1" applyAlignment="1" applyProtection="1">
      <alignment horizontal="center"/>
    </xf>
    <xf numFmtId="164" fontId="31" fillId="0" borderId="61" xfId="0" applyNumberFormat="1" applyFont="1" applyFill="1" applyBorder="1" applyAlignment="1" applyProtection="1">
      <alignment horizontal="center" vertical="center" wrapText="1"/>
    </xf>
    <xf numFmtId="164" fontId="31" fillId="0" borderId="62" xfId="0" applyNumberFormat="1" applyFont="1" applyFill="1" applyBorder="1" applyAlignment="1" applyProtection="1">
      <alignment horizontal="center" vertical="center" wrapText="1"/>
    </xf>
    <xf numFmtId="164" fontId="18" fillId="0" borderId="0" xfId="0" applyNumberFormat="1" applyFont="1" applyFill="1" applyAlignment="1" applyProtection="1">
      <alignment horizontal="center" textRotation="180" wrapText="1"/>
    </xf>
    <xf numFmtId="164" fontId="50" fillId="0" borderId="55" xfId="0" applyNumberFormat="1" applyFont="1" applyFill="1" applyBorder="1" applyAlignment="1" applyProtection="1">
      <alignment horizontal="center" vertical="center" wrapText="1"/>
    </xf>
    <xf numFmtId="164" fontId="31" fillId="0" borderId="63" xfId="0" applyNumberFormat="1" applyFont="1" applyFill="1" applyBorder="1" applyAlignment="1" applyProtection="1">
      <alignment horizontal="center" vertical="center" wrapText="1"/>
    </xf>
    <xf numFmtId="164" fontId="31" fillId="0" borderId="64" xfId="0" applyNumberFormat="1" applyFont="1" applyFill="1" applyBorder="1" applyAlignment="1" applyProtection="1">
      <alignment horizontal="center" vertical="center" wrapText="1"/>
    </xf>
    <xf numFmtId="164" fontId="5" fillId="0" borderId="0" xfId="4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right"/>
    </xf>
    <xf numFmtId="0" fontId="32" fillId="0" borderId="20" xfId="4" applyFont="1" applyFill="1" applyBorder="1" applyAlignment="1">
      <alignment horizontal="center" vertical="center" wrapText="1"/>
    </xf>
    <xf numFmtId="0" fontId="32" fillId="0" borderId="18" xfId="4" applyFont="1" applyFill="1" applyBorder="1" applyAlignment="1">
      <alignment horizontal="center" vertical="center" wrapText="1"/>
    </xf>
    <xf numFmtId="0" fontId="32" fillId="0" borderId="11" xfId="4" applyFont="1" applyFill="1" applyBorder="1" applyAlignment="1">
      <alignment horizontal="center" vertical="center" wrapText="1"/>
    </xf>
    <xf numFmtId="0" fontId="32" fillId="0" borderId="10" xfId="4" applyFont="1" applyFill="1" applyBorder="1" applyAlignment="1">
      <alignment horizontal="center" vertical="center" wrapText="1"/>
    </xf>
    <xf numFmtId="0" fontId="32" fillId="0" borderId="4" xfId="4" applyFont="1" applyFill="1" applyBorder="1" applyAlignment="1">
      <alignment horizontal="center" vertical="center" wrapText="1"/>
    </xf>
    <xf numFmtId="0" fontId="32" fillId="0" borderId="6" xfId="4" applyFont="1" applyFill="1" applyBorder="1" applyAlignment="1">
      <alignment horizontal="center" vertical="center" wrapText="1"/>
    </xf>
    <xf numFmtId="0" fontId="21" fillId="0" borderId="0" xfId="0" applyFont="1" applyFill="1" applyBorder="1" applyAlignment="1" applyProtection="1">
      <alignment horizontal="right"/>
    </xf>
    <xf numFmtId="0" fontId="31" fillId="0" borderId="13" xfId="4" applyFont="1" applyFill="1" applyBorder="1" applyAlignment="1" applyProtection="1">
      <alignment horizontal="left"/>
    </xf>
    <xf numFmtId="0" fontId="31" fillId="0" borderId="14" xfId="4" applyFont="1" applyFill="1" applyBorder="1" applyAlignment="1" applyProtection="1">
      <alignment horizontal="left"/>
    </xf>
    <xf numFmtId="0" fontId="22" fillId="0" borderId="55" xfId="4" applyFont="1" applyFill="1" applyBorder="1" applyAlignment="1">
      <alignment horizontal="justify" vertical="center" wrapText="1"/>
    </xf>
    <xf numFmtId="164" fontId="24" fillId="0" borderId="0" xfId="0" applyNumberFormat="1" applyFont="1" applyFill="1" applyAlignment="1">
      <alignment horizontal="center" vertical="center" wrapText="1"/>
    </xf>
    <xf numFmtId="0" fontId="32" fillId="0" borderId="0" xfId="0" applyFont="1" applyFill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right"/>
    </xf>
    <xf numFmtId="0" fontId="3" fillId="0" borderId="0" xfId="0" applyFont="1" applyFill="1" applyAlignment="1" applyProtection="1">
      <alignment horizontal="left"/>
      <protection locked="0"/>
    </xf>
    <xf numFmtId="0" fontId="24" fillId="0" borderId="0" xfId="0" applyFont="1" applyFill="1" applyAlignment="1">
      <alignment horizontal="center" wrapText="1"/>
    </xf>
    <xf numFmtId="164" fontId="18" fillId="0" borderId="52" xfId="0" applyNumberFormat="1" applyFont="1" applyFill="1" applyBorder="1" applyAlignment="1" applyProtection="1">
      <alignment horizontal="center" textRotation="180" wrapText="1"/>
    </xf>
    <xf numFmtId="164" fontId="24" fillId="0" borderId="0" xfId="0" applyNumberFormat="1" applyFont="1" applyFill="1" applyAlignment="1" applyProtection="1">
      <alignment horizontal="center" vertical="center" wrapText="1"/>
    </xf>
    <xf numFmtId="164" fontId="8" fillId="0" borderId="45" xfId="0" applyNumberFormat="1" applyFont="1" applyFill="1" applyBorder="1" applyAlignment="1" applyProtection="1">
      <alignment horizontal="left" vertical="center" wrapText="1" indent="2"/>
    </xf>
    <xf numFmtId="164" fontId="8" fillId="0" borderId="38" xfId="0" applyNumberFormat="1" applyFont="1" applyFill="1" applyBorder="1" applyAlignment="1" applyProtection="1">
      <alignment horizontal="left" vertical="center" wrapText="1" indent="2"/>
    </xf>
    <xf numFmtId="164" fontId="8" fillId="0" borderId="61" xfId="0" applyNumberFormat="1" applyFont="1" applyFill="1" applyBorder="1" applyAlignment="1" applyProtection="1">
      <alignment horizontal="center" vertical="center"/>
    </xf>
    <xf numFmtId="164" fontId="8" fillId="0" borderId="62" xfId="0" applyNumberFormat="1" applyFont="1" applyFill="1" applyBorder="1" applyAlignment="1" applyProtection="1">
      <alignment horizontal="center" vertical="center"/>
    </xf>
    <xf numFmtId="164" fontId="8" fillId="0" borderId="58" xfId="0" applyNumberFormat="1" applyFont="1" applyFill="1" applyBorder="1" applyAlignment="1" applyProtection="1">
      <alignment horizontal="center" vertical="center"/>
    </xf>
    <xf numFmtId="164" fontId="8" fillId="0" borderId="66" xfId="0" applyNumberFormat="1" applyFont="1" applyFill="1" applyBorder="1" applyAlignment="1" applyProtection="1">
      <alignment horizontal="center" vertical="center"/>
    </xf>
    <xf numFmtId="164" fontId="8" fillId="0" borderId="53" xfId="0" applyNumberFormat="1" applyFont="1" applyFill="1" applyBorder="1" applyAlignment="1" applyProtection="1">
      <alignment horizontal="center" vertical="center"/>
    </xf>
    <xf numFmtId="164" fontId="8" fillId="0" borderId="61" xfId="0" applyNumberFormat="1" applyFont="1" applyFill="1" applyBorder="1" applyAlignment="1" applyProtection="1">
      <alignment horizontal="center" vertical="center" wrapText="1"/>
    </xf>
    <xf numFmtId="164" fontId="8" fillId="0" borderId="62" xfId="0" applyNumberFormat="1" applyFont="1" applyFill="1" applyBorder="1" applyAlignment="1" applyProtection="1">
      <alignment horizontal="center" vertical="center" wrapText="1"/>
    </xf>
    <xf numFmtId="164" fontId="8" fillId="0" borderId="65" xfId="0" applyNumberFormat="1" applyFont="1" applyFill="1" applyBorder="1" applyAlignment="1" applyProtection="1">
      <alignment horizontal="center" vertical="center" wrapText="1"/>
    </xf>
    <xf numFmtId="164" fontId="8" fillId="0" borderId="70" xfId="0" applyNumberFormat="1" applyFont="1" applyFill="1" applyBorder="1" applyAlignment="1" applyProtection="1">
      <alignment horizontal="center" vertical="center"/>
    </xf>
    <xf numFmtId="0" fontId="30" fillId="0" borderId="55" xfId="0" applyFont="1" applyFill="1" applyBorder="1" applyAlignment="1">
      <alignment horizontal="justify" vertical="center" wrapText="1"/>
    </xf>
    <xf numFmtId="0" fontId="16" fillId="0" borderId="0" xfId="0" applyFont="1" applyAlignment="1">
      <alignment horizontal="center" wrapText="1"/>
    </xf>
    <xf numFmtId="0" fontId="21" fillId="0" borderId="68" xfId="5" applyFont="1" applyFill="1" applyBorder="1" applyAlignment="1" applyProtection="1">
      <alignment horizontal="left" vertical="center" indent="1"/>
    </xf>
    <xf numFmtId="0" fontId="21" fillId="0" borderId="55" xfId="5" applyFont="1" applyFill="1" applyBorder="1" applyAlignment="1" applyProtection="1">
      <alignment horizontal="left" vertical="center" indent="1"/>
    </xf>
    <xf numFmtId="0" fontId="21" fillId="0" borderId="59" xfId="5" applyFont="1" applyFill="1" applyBorder="1" applyAlignment="1" applyProtection="1">
      <alignment horizontal="left" vertical="center" indent="1"/>
    </xf>
    <xf numFmtId="0" fontId="21" fillId="0" borderId="36" xfId="5" applyFont="1" applyFill="1" applyBorder="1" applyAlignment="1" applyProtection="1">
      <alignment horizontal="left" vertical="center" indent="1"/>
    </xf>
    <xf numFmtId="0" fontId="21" fillId="0" borderId="46" xfId="5" applyFont="1" applyFill="1" applyBorder="1" applyAlignment="1" applyProtection="1">
      <alignment horizontal="left" vertical="center" indent="1"/>
    </xf>
    <xf numFmtId="0" fontId="21" fillId="0" borderId="38" xfId="5" applyFont="1" applyFill="1" applyBorder="1" applyAlignment="1" applyProtection="1">
      <alignment horizontal="left" vertical="center" indent="1"/>
    </xf>
    <xf numFmtId="0" fontId="24" fillId="0" borderId="0" xfId="5" applyFont="1" applyFill="1" applyAlignment="1" applyProtection="1">
      <alignment horizontal="center" wrapText="1"/>
    </xf>
    <xf numFmtId="0" fontId="24" fillId="0" borderId="0" xfId="5" applyFont="1" applyFill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center"/>
    </xf>
    <xf numFmtId="0" fontId="18" fillId="0" borderId="52" xfId="0" applyFont="1" applyFill="1" applyBorder="1" applyAlignment="1">
      <alignment horizontal="center" textRotation="180"/>
    </xf>
    <xf numFmtId="0" fontId="37" fillId="0" borderId="0" xfId="0" applyFont="1" applyAlignment="1" applyProtection="1">
      <alignment horizontal="right"/>
    </xf>
    <xf numFmtId="0" fontId="31" fillId="0" borderId="45" xfId="0" applyFont="1" applyBorder="1" applyAlignment="1" applyProtection="1">
      <alignment horizontal="left" vertical="center" indent="2"/>
    </xf>
    <xf numFmtId="0" fontId="31" fillId="0" borderId="44" xfId="0" applyFont="1" applyBorder="1" applyAlignment="1" applyProtection="1">
      <alignment horizontal="left" vertical="center" indent="2"/>
    </xf>
    <xf numFmtId="0" fontId="24" fillId="0" borderId="0" xfId="0" applyFont="1" applyAlignment="1">
      <alignment horizontal="center" wrapText="1"/>
    </xf>
  </cellXfs>
  <cellStyles count="7">
    <cellStyle name="Ezres" xfId="1" builtinId="3"/>
    <cellStyle name="Hiperhivatkozás" xfId="2"/>
    <cellStyle name="Már látott hiperhivatkozás" xfId="3"/>
    <cellStyle name="Normál" xfId="0" builtinId="0"/>
    <cellStyle name="Normál 2" xfId="6"/>
    <cellStyle name="Normál_KVRENMUNKA" xfId="4"/>
    <cellStyle name="Normál_SEGEDLETEK" xfId="5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B16"/>
  <sheetViews>
    <sheetView view="pageBreakPreview" zoomScale="60" zoomScaleNormal="100" workbookViewId="0">
      <selection activeCell="A12" sqref="A12"/>
    </sheetView>
  </sheetViews>
  <sheetFormatPr defaultRowHeight="12.75" x14ac:dyDescent="0.2"/>
  <cols>
    <col min="1" max="1" width="48.5" customWidth="1"/>
    <col min="2" max="2" width="73.5" customWidth="1"/>
    <col min="3" max="3" width="16.83203125" customWidth="1"/>
  </cols>
  <sheetData>
    <row r="2" spans="1:2" x14ac:dyDescent="0.2">
      <c r="A2" t="s">
        <v>152</v>
      </c>
    </row>
    <row r="4" spans="1:2" x14ac:dyDescent="0.2">
      <c r="A4" s="160"/>
      <c r="B4" s="160"/>
    </row>
    <row r="5" spans="1:2" s="172" customFormat="1" ht="15.75" x14ac:dyDescent="0.25">
      <c r="A5" s="106" t="s">
        <v>649</v>
      </c>
      <c r="B5" s="171"/>
    </row>
    <row r="6" spans="1:2" x14ac:dyDescent="0.2">
      <c r="A6" s="160"/>
      <c r="B6" s="160"/>
    </row>
    <row r="7" spans="1:2" x14ac:dyDescent="0.2">
      <c r="A7" s="160" t="s">
        <v>548</v>
      </c>
      <c r="B7" s="160" t="s">
        <v>490</v>
      </c>
    </row>
    <row r="8" spans="1:2" x14ac:dyDescent="0.2">
      <c r="A8" s="160" t="s">
        <v>549</v>
      </c>
      <c r="B8" s="160" t="s">
        <v>491</v>
      </c>
    </row>
    <row r="9" spans="1:2" x14ac:dyDescent="0.2">
      <c r="A9" s="160" t="s">
        <v>550</v>
      </c>
      <c r="B9" s="160" t="s">
        <v>492</v>
      </c>
    </row>
    <row r="10" spans="1:2" x14ac:dyDescent="0.2">
      <c r="A10" s="160"/>
      <c r="B10" s="160"/>
    </row>
    <row r="11" spans="1:2" x14ac:dyDescent="0.2">
      <c r="A11" s="160"/>
      <c r="B11" s="160"/>
    </row>
    <row r="12" spans="1:2" s="172" customFormat="1" ht="15.75" x14ac:dyDescent="0.25">
      <c r="A12" s="106" t="str">
        <f>+CONCATENATE(LEFT(A5,4),". évi előirányzat KIADÁSOK")</f>
        <v>2017. évi előirányzat KIADÁSOK</v>
      </c>
      <c r="B12" s="171"/>
    </row>
    <row r="13" spans="1:2" x14ac:dyDescent="0.2">
      <c r="A13" s="160"/>
      <c r="B13" s="160"/>
    </row>
    <row r="14" spans="1:2" x14ac:dyDescent="0.2">
      <c r="A14" s="160" t="s">
        <v>551</v>
      </c>
      <c r="B14" s="160" t="s">
        <v>493</v>
      </c>
    </row>
    <row r="15" spans="1:2" x14ac:dyDescent="0.2">
      <c r="A15" s="160" t="s">
        <v>552</v>
      </c>
      <c r="B15" s="160" t="s">
        <v>494</v>
      </c>
    </row>
    <row r="16" spans="1:2" x14ac:dyDescent="0.2">
      <c r="A16" s="160" t="s">
        <v>553</v>
      </c>
      <c r="B16" s="160" t="s">
        <v>495</v>
      </c>
    </row>
  </sheetData>
  <phoneticPr fontId="30" type="noConversion"/>
  <pageMargins left="1.0629921259842521" right="1.0236220472440944" top="0.78740157480314965" bottom="0.78740157480314965" header="0.70866141732283472" footer="0.7086614173228347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12"/>
  <sheetViews>
    <sheetView view="pageLayout" zoomScaleNormal="120" workbookViewId="0">
      <selection activeCell="C7" sqref="C7"/>
    </sheetView>
  </sheetViews>
  <sheetFormatPr defaultRowHeight="15" x14ac:dyDescent="0.25"/>
  <cols>
    <col min="1" max="1" width="5.6640625" style="174" customWidth="1"/>
    <col min="2" max="2" width="68.6640625" style="174" customWidth="1"/>
    <col min="3" max="3" width="19.5" style="174" customWidth="1"/>
    <col min="4" max="16384" width="9.33203125" style="174"/>
  </cols>
  <sheetData>
    <row r="1" spans="1:4" ht="33" customHeight="1" x14ac:dyDescent="0.25">
      <c r="A1" s="680" t="s">
        <v>569</v>
      </c>
      <c r="B1" s="680"/>
      <c r="C1" s="680"/>
    </row>
    <row r="2" spans="1:4" ht="15.95" customHeight="1" thickBot="1" x14ac:dyDescent="0.3">
      <c r="A2" s="175"/>
      <c r="B2" s="175"/>
      <c r="C2" s="185" t="s">
        <v>55</v>
      </c>
      <c r="D2" s="181"/>
    </row>
    <row r="3" spans="1:4" ht="26.25" customHeight="1" thickBot="1" x14ac:dyDescent="0.3">
      <c r="A3" s="202" t="s">
        <v>16</v>
      </c>
      <c r="B3" s="203" t="s">
        <v>194</v>
      </c>
      <c r="C3" s="204" t="str">
        <f>+'1.1.sz.mell.'!C3</f>
        <v>2017. évi előirányzat</v>
      </c>
    </row>
    <row r="4" spans="1:4" ht="15.75" thickBot="1" x14ac:dyDescent="0.3">
      <c r="A4" s="205"/>
      <c r="B4" s="567" t="s">
        <v>496</v>
      </c>
      <c r="C4" s="568" t="s">
        <v>497</v>
      </c>
    </row>
    <row r="5" spans="1:4" x14ac:dyDescent="0.25">
      <c r="A5" s="206" t="s">
        <v>18</v>
      </c>
      <c r="B5" s="392" t="s">
        <v>505</v>
      </c>
      <c r="C5" s="389">
        <v>84015</v>
      </c>
    </row>
    <row r="6" spans="1:4" ht="24.75" x14ac:dyDescent="0.25">
      <c r="A6" s="207" t="s">
        <v>19</v>
      </c>
      <c r="B6" s="428" t="s">
        <v>248</v>
      </c>
      <c r="C6" s="390">
        <v>0</v>
      </c>
    </row>
    <row r="7" spans="1:4" x14ac:dyDescent="0.25">
      <c r="A7" s="207" t="s">
        <v>20</v>
      </c>
      <c r="B7" s="429" t="s">
        <v>506</v>
      </c>
      <c r="C7" s="390"/>
    </row>
    <row r="8" spans="1:4" ht="24.75" x14ac:dyDescent="0.25">
      <c r="A8" s="207" t="s">
        <v>21</v>
      </c>
      <c r="B8" s="429" t="s">
        <v>250</v>
      </c>
      <c r="C8" s="390">
        <v>27204</v>
      </c>
    </row>
    <row r="9" spans="1:4" x14ac:dyDescent="0.25">
      <c r="A9" s="208" t="s">
        <v>22</v>
      </c>
      <c r="B9" s="429" t="s">
        <v>249</v>
      </c>
      <c r="C9" s="391">
        <v>3040</v>
      </c>
    </row>
    <row r="10" spans="1:4" ht="15.75" thickBot="1" x14ac:dyDescent="0.3">
      <c r="A10" s="207" t="s">
        <v>23</v>
      </c>
      <c r="B10" s="430" t="s">
        <v>507</v>
      </c>
      <c r="C10" s="390"/>
    </row>
    <row r="11" spans="1:4" ht="15.75" thickBot="1" x14ac:dyDescent="0.3">
      <c r="A11" s="689" t="s">
        <v>197</v>
      </c>
      <c r="B11" s="690"/>
      <c r="C11" s="209">
        <f>SUM(C5:C10)</f>
        <v>114259</v>
      </c>
    </row>
    <row r="12" spans="1:4" ht="23.25" customHeight="1" x14ac:dyDescent="0.25">
      <c r="A12" s="691" t="s">
        <v>223</v>
      </c>
      <c r="B12" s="691"/>
      <c r="C12" s="691"/>
    </row>
  </sheetData>
  <mergeCells count="3">
    <mergeCell ref="A1:C1"/>
    <mergeCell ref="A11:B11"/>
    <mergeCell ref="A12:C12"/>
  </mergeCells>
  <phoneticPr fontId="30" type="noConversion"/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&amp;R&amp;"Times New Roman CE,Félkövér dőlt"&amp;11 4. melléklet a 6/2017. (III. 13.) önkormányzati rendelethez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8"/>
  <sheetViews>
    <sheetView view="pageLayout" zoomScaleNormal="120" workbookViewId="0">
      <selection activeCell="C6" sqref="C6"/>
    </sheetView>
  </sheetViews>
  <sheetFormatPr defaultRowHeight="15" x14ac:dyDescent="0.25"/>
  <cols>
    <col min="1" max="1" width="5.6640625" style="174" customWidth="1"/>
    <col min="2" max="2" width="66.83203125" style="174" customWidth="1"/>
    <col min="3" max="3" width="27" style="174" customWidth="1"/>
    <col min="4" max="16384" width="9.33203125" style="174"/>
  </cols>
  <sheetData>
    <row r="1" spans="1:4" ht="33" customHeight="1" x14ac:dyDescent="0.25">
      <c r="A1" s="680" t="str">
        <f>+CONCATENATE("Ibrány Város Önkormányzata ",CONCATENATE(LEFT(ÖSSZEFÜGGÉSEK!A5,4),". évi adósságot keletkeztető fejlesztési céljai"))</f>
        <v>Ibrány Város Önkormányzata 2017. évi adósságot keletkeztető fejlesztési céljai</v>
      </c>
      <c r="B1" s="680"/>
      <c r="C1" s="680"/>
    </row>
    <row r="2" spans="1:4" ht="15.95" customHeight="1" thickBot="1" x14ac:dyDescent="0.3">
      <c r="A2" s="175"/>
      <c r="B2" s="175"/>
      <c r="C2" s="185" t="s">
        <v>55</v>
      </c>
      <c r="D2" s="181"/>
    </row>
    <row r="3" spans="1:4" ht="26.25" customHeight="1" thickBot="1" x14ac:dyDescent="0.3">
      <c r="A3" s="202" t="s">
        <v>16</v>
      </c>
      <c r="B3" s="203" t="s">
        <v>198</v>
      </c>
      <c r="C3" s="204" t="s">
        <v>222</v>
      </c>
    </row>
    <row r="4" spans="1:4" ht="15.75" thickBot="1" x14ac:dyDescent="0.3">
      <c r="A4" s="205"/>
      <c r="B4" s="567" t="s">
        <v>496</v>
      </c>
      <c r="C4" s="568" t="s">
        <v>497</v>
      </c>
    </row>
    <row r="5" spans="1:4" ht="23.25" x14ac:dyDescent="0.25">
      <c r="A5" s="206" t="s">
        <v>18</v>
      </c>
      <c r="B5" s="658" t="s">
        <v>712</v>
      </c>
      <c r="C5" s="210">
        <v>13000</v>
      </c>
    </row>
    <row r="6" spans="1:4" ht="23.25" x14ac:dyDescent="0.25">
      <c r="A6" s="207" t="s">
        <v>19</v>
      </c>
      <c r="B6" s="659" t="s">
        <v>714</v>
      </c>
      <c r="C6" s="211">
        <v>10000</v>
      </c>
    </row>
    <row r="7" spans="1:4" ht="24" thickBot="1" x14ac:dyDescent="0.3">
      <c r="A7" s="208" t="s">
        <v>20</v>
      </c>
      <c r="B7" s="660" t="s">
        <v>713</v>
      </c>
      <c r="C7" s="212">
        <v>9900</v>
      </c>
    </row>
    <row r="8" spans="1:4" s="516" customFormat="1" ht="17.25" customHeight="1" thickBot="1" x14ac:dyDescent="0.25">
      <c r="A8" s="517" t="s">
        <v>21</v>
      </c>
      <c r="B8" s="157" t="s">
        <v>199</v>
      </c>
      <c r="C8" s="209">
        <f>SUM(C5:C7)</f>
        <v>32900</v>
      </c>
    </row>
  </sheetData>
  <mergeCells count="1">
    <mergeCell ref="A1:C1"/>
  </mergeCells>
  <phoneticPr fontId="30" type="noConversion"/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&amp;R&amp;"Times New Roman CE,Félkövér dőlt"&amp;11 5. melléklet a 6/2017. (III. 13.) önkormányzati rendelethez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6"/>
  <sheetViews>
    <sheetView view="pageLayout" zoomScaleNormal="100" workbookViewId="0">
      <selection activeCell="B5" sqref="B5:E46"/>
    </sheetView>
  </sheetViews>
  <sheetFormatPr defaultRowHeight="12.75" x14ac:dyDescent="0.2"/>
  <cols>
    <col min="1" max="1" width="34.83203125" style="48" customWidth="1"/>
    <col min="2" max="2" width="12.83203125" style="47" customWidth="1"/>
    <col min="3" max="3" width="14.1640625" style="47" customWidth="1"/>
    <col min="4" max="4" width="14.83203125" style="47" customWidth="1"/>
    <col min="5" max="5" width="12.6640625" style="47" customWidth="1"/>
    <col min="6" max="6" width="15" style="61" customWidth="1"/>
    <col min="7" max="8" width="12.83203125" style="47" customWidth="1"/>
    <col min="9" max="9" width="13.83203125" style="47" customWidth="1"/>
    <col min="10" max="16384" width="9.33203125" style="47"/>
  </cols>
  <sheetData>
    <row r="1" spans="1:6" ht="19.5" customHeight="1" x14ac:dyDescent="0.2">
      <c r="A1" s="692" t="s">
        <v>0</v>
      </c>
      <c r="B1" s="692"/>
      <c r="C1" s="692"/>
      <c r="D1" s="692"/>
      <c r="E1" s="692"/>
      <c r="F1" s="692"/>
    </row>
    <row r="2" spans="1:6" ht="15.75" customHeight="1" thickBot="1" x14ac:dyDescent="0.3">
      <c r="A2" s="215"/>
      <c r="B2" s="61"/>
      <c r="C2" s="61"/>
      <c r="D2" s="61"/>
      <c r="E2" s="61"/>
      <c r="F2" s="647" t="s">
        <v>62</v>
      </c>
    </row>
    <row r="3" spans="1:6" s="50" customFormat="1" ht="38.25" customHeight="1" thickBot="1" x14ac:dyDescent="0.25">
      <c r="A3" s="216" t="s">
        <v>66</v>
      </c>
      <c r="B3" s="217" t="s">
        <v>67</v>
      </c>
      <c r="C3" s="217" t="s">
        <v>68</v>
      </c>
      <c r="D3" s="217" t="str">
        <f>+CONCATENATE("Felhasználás   ",LEFT(ÖSSZEFÜGGÉSEK!A5,4)-1,". XII. 31-ig")</f>
        <v>Felhasználás   2016. XII. 31-ig</v>
      </c>
      <c r="E3" s="217" t="str">
        <f>+'1.1.sz.mell.'!C3</f>
        <v>2017. évi előirányzat</v>
      </c>
      <c r="F3" s="58" t="str">
        <f>+CONCATENATE(LEFT(ÖSSZEFÜGGÉSEK!A5,4),". utáni szükséglet")</f>
        <v>2017. utáni szükséglet</v>
      </c>
    </row>
    <row r="4" spans="1:6" s="61" customFormat="1" ht="12" customHeight="1" thickBot="1" x14ac:dyDescent="0.25">
      <c r="A4" s="59" t="s">
        <v>496</v>
      </c>
      <c r="B4" s="60" t="s">
        <v>497</v>
      </c>
      <c r="C4" s="60" t="s">
        <v>498</v>
      </c>
      <c r="D4" s="60" t="s">
        <v>500</v>
      </c>
      <c r="E4" s="60" t="s">
        <v>499</v>
      </c>
      <c r="F4" s="571" t="s">
        <v>566</v>
      </c>
    </row>
    <row r="5" spans="1:6" ht="15.95" customHeight="1" x14ac:dyDescent="0.2">
      <c r="A5" s="518" t="s">
        <v>670</v>
      </c>
      <c r="B5" s="28">
        <v>10610</v>
      </c>
      <c r="C5" s="519" t="s">
        <v>665</v>
      </c>
      <c r="D5" s="28"/>
      <c r="E5" s="28">
        <v>10610</v>
      </c>
      <c r="F5" s="62">
        <f>B5-D5-E5</f>
        <v>0</v>
      </c>
    </row>
    <row r="6" spans="1:6" ht="15.95" customHeight="1" x14ac:dyDescent="0.2">
      <c r="A6" s="518" t="s">
        <v>645</v>
      </c>
      <c r="B6" s="28">
        <f>SUM(B7:B37)</f>
        <v>78640</v>
      </c>
      <c r="C6" s="519" t="s">
        <v>665</v>
      </c>
      <c r="D6" s="28"/>
      <c r="E6" s="28">
        <f>SUM(E7:E37)</f>
        <v>78640</v>
      </c>
      <c r="F6" s="62">
        <f>B6-D6-E6</f>
        <v>0</v>
      </c>
    </row>
    <row r="7" spans="1:6" ht="15.95" customHeight="1" x14ac:dyDescent="0.2">
      <c r="A7" s="648" t="s">
        <v>681</v>
      </c>
      <c r="B7" s="649">
        <v>13000</v>
      </c>
      <c r="C7" s="650" t="s">
        <v>665</v>
      </c>
      <c r="D7" s="649"/>
      <c r="E7" s="649">
        <v>13000</v>
      </c>
      <c r="F7" s="62"/>
    </row>
    <row r="8" spans="1:6" ht="15.95" customHeight="1" x14ac:dyDescent="0.2">
      <c r="A8" s="648" t="s">
        <v>682</v>
      </c>
      <c r="B8" s="649">
        <v>3000</v>
      </c>
      <c r="C8" s="650" t="s">
        <v>665</v>
      </c>
      <c r="D8" s="649"/>
      <c r="E8" s="649">
        <v>3000</v>
      </c>
      <c r="F8" s="62"/>
    </row>
    <row r="9" spans="1:6" ht="15.95" customHeight="1" x14ac:dyDescent="0.2">
      <c r="A9" s="648" t="s">
        <v>683</v>
      </c>
      <c r="B9" s="649">
        <v>685</v>
      </c>
      <c r="C9" s="650" t="s">
        <v>665</v>
      </c>
      <c r="D9" s="649"/>
      <c r="E9" s="649">
        <v>685</v>
      </c>
      <c r="F9" s="62"/>
    </row>
    <row r="10" spans="1:6" ht="15.95" customHeight="1" x14ac:dyDescent="0.2">
      <c r="A10" s="648" t="s">
        <v>684</v>
      </c>
      <c r="B10" s="649">
        <v>2000</v>
      </c>
      <c r="C10" s="650" t="s">
        <v>665</v>
      </c>
      <c r="D10" s="649"/>
      <c r="E10" s="649">
        <v>2000</v>
      </c>
      <c r="F10" s="62"/>
    </row>
    <row r="11" spans="1:6" ht="15.95" customHeight="1" x14ac:dyDescent="0.2">
      <c r="A11" s="648" t="s">
        <v>685</v>
      </c>
      <c r="B11" s="649">
        <v>5000</v>
      </c>
      <c r="C11" s="650" t="s">
        <v>665</v>
      </c>
      <c r="D11" s="649"/>
      <c r="E11" s="649">
        <v>5000</v>
      </c>
      <c r="F11" s="62"/>
    </row>
    <row r="12" spans="1:6" ht="15.95" customHeight="1" x14ac:dyDescent="0.2">
      <c r="A12" s="648" t="s">
        <v>686</v>
      </c>
      <c r="B12" s="649">
        <v>227</v>
      </c>
      <c r="C12" s="650" t="s">
        <v>665</v>
      </c>
      <c r="D12" s="649"/>
      <c r="E12" s="649">
        <v>227</v>
      </c>
      <c r="F12" s="62"/>
    </row>
    <row r="13" spans="1:6" ht="15.95" customHeight="1" x14ac:dyDescent="0.2">
      <c r="A13" s="648" t="s">
        <v>687</v>
      </c>
      <c r="B13" s="649">
        <v>5000</v>
      </c>
      <c r="C13" s="650" t="s">
        <v>665</v>
      </c>
      <c r="D13" s="649"/>
      <c r="E13" s="649">
        <v>5000</v>
      </c>
      <c r="F13" s="62"/>
    </row>
    <row r="14" spans="1:6" ht="15.95" customHeight="1" x14ac:dyDescent="0.2">
      <c r="A14" s="648" t="s">
        <v>719</v>
      </c>
      <c r="B14" s="649">
        <v>800</v>
      </c>
      <c r="C14" s="650" t="s">
        <v>665</v>
      </c>
      <c r="D14" s="649"/>
      <c r="E14" s="649">
        <v>800</v>
      </c>
      <c r="F14" s="62"/>
    </row>
    <row r="15" spans="1:6" ht="15.95" customHeight="1" x14ac:dyDescent="0.2">
      <c r="A15" s="648" t="s">
        <v>688</v>
      </c>
      <c r="B15" s="649">
        <v>3000</v>
      </c>
      <c r="C15" s="650" t="s">
        <v>665</v>
      </c>
      <c r="D15" s="649"/>
      <c r="E15" s="649">
        <v>3000</v>
      </c>
      <c r="F15" s="62"/>
    </row>
    <row r="16" spans="1:6" ht="15.95" customHeight="1" x14ac:dyDescent="0.2">
      <c r="A16" s="648" t="s">
        <v>689</v>
      </c>
      <c r="B16" s="649">
        <v>3500</v>
      </c>
      <c r="C16" s="650" t="s">
        <v>665</v>
      </c>
      <c r="D16" s="649"/>
      <c r="E16" s="649">
        <v>3500</v>
      </c>
      <c r="F16" s="62"/>
    </row>
    <row r="17" spans="1:6" ht="15.95" customHeight="1" x14ac:dyDescent="0.2">
      <c r="A17" s="648" t="s">
        <v>695</v>
      </c>
      <c r="B17" s="649">
        <v>3500</v>
      </c>
      <c r="C17" s="650" t="s">
        <v>665</v>
      </c>
      <c r="D17" s="649"/>
      <c r="E17" s="649">
        <v>3500</v>
      </c>
      <c r="F17" s="62"/>
    </row>
    <row r="18" spans="1:6" ht="15.95" customHeight="1" x14ac:dyDescent="0.2">
      <c r="A18" s="648" t="s">
        <v>716</v>
      </c>
      <c r="B18" s="649">
        <v>3600</v>
      </c>
      <c r="C18" s="650" t="s">
        <v>665</v>
      </c>
      <c r="D18" s="649"/>
      <c r="E18" s="649">
        <v>3600</v>
      </c>
      <c r="F18" s="62"/>
    </row>
    <row r="19" spans="1:6" ht="15.95" customHeight="1" x14ac:dyDescent="0.2">
      <c r="A19" s="648" t="s">
        <v>690</v>
      </c>
      <c r="B19" s="649">
        <v>2000</v>
      </c>
      <c r="C19" s="650" t="s">
        <v>665</v>
      </c>
      <c r="D19" s="649"/>
      <c r="E19" s="649">
        <v>2000</v>
      </c>
      <c r="F19" s="62"/>
    </row>
    <row r="20" spans="1:6" ht="15.95" customHeight="1" x14ac:dyDescent="0.2">
      <c r="A20" s="648" t="s">
        <v>691</v>
      </c>
      <c r="B20" s="649">
        <v>3000</v>
      </c>
      <c r="C20" s="650" t="s">
        <v>665</v>
      </c>
      <c r="D20" s="649"/>
      <c r="E20" s="649">
        <v>3000</v>
      </c>
      <c r="F20" s="62"/>
    </row>
    <row r="21" spans="1:6" ht="15.95" customHeight="1" x14ac:dyDescent="0.2">
      <c r="A21" s="648" t="s">
        <v>692</v>
      </c>
      <c r="B21" s="649">
        <v>3400</v>
      </c>
      <c r="C21" s="650" t="s">
        <v>665</v>
      </c>
      <c r="D21" s="649"/>
      <c r="E21" s="649">
        <v>3400</v>
      </c>
      <c r="F21" s="62"/>
    </row>
    <row r="22" spans="1:6" ht="15.95" customHeight="1" x14ac:dyDescent="0.2">
      <c r="A22" s="648" t="s">
        <v>693</v>
      </c>
      <c r="B22" s="649">
        <v>200</v>
      </c>
      <c r="C22" s="650" t="s">
        <v>665</v>
      </c>
      <c r="D22" s="649"/>
      <c r="E22" s="649">
        <v>200</v>
      </c>
      <c r="F22" s="62"/>
    </row>
    <row r="23" spans="1:6" ht="15.95" customHeight="1" x14ac:dyDescent="0.2">
      <c r="A23" s="648" t="s">
        <v>694</v>
      </c>
      <c r="B23" s="649">
        <v>332</v>
      </c>
      <c r="C23" s="650" t="s">
        <v>665</v>
      </c>
      <c r="D23" s="649"/>
      <c r="E23" s="649">
        <v>332</v>
      </c>
      <c r="F23" s="62"/>
    </row>
    <row r="24" spans="1:6" ht="15.95" customHeight="1" x14ac:dyDescent="0.2">
      <c r="A24" s="648" t="s">
        <v>717</v>
      </c>
      <c r="B24" s="649">
        <v>1000</v>
      </c>
      <c r="C24" s="650" t="s">
        <v>665</v>
      </c>
      <c r="D24" s="649"/>
      <c r="E24" s="649">
        <v>1000</v>
      </c>
      <c r="F24" s="62"/>
    </row>
    <row r="25" spans="1:6" ht="15.95" customHeight="1" x14ac:dyDescent="0.2">
      <c r="A25" s="648" t="s">
        <v>718</v>
      </c>
      <c r="B25" s="649">
        <v>130</v>
      </c>
      <c r="C25" s="650" t="s">
        <v>665</v>
      </c>
      <c r="D25" s="649"/>
      <c r="E25" s="649">
        <v>130</v>
      </c>
      <c r="F25" s="62"/>
    </row>
    <row r="26" spans="1:6" ht="15.95" customHeight="1" x14ac:dyDescent="0.2">
      <c r="A26" s="648" t="s">
        <v>720</v>
      </c>
      <c r="B26" s="649">
        <v>112</v>
      </c>
      <c r="C26" s="650" t="s">
        <v>665</v>
      </c>
      <c r="D26" s="649"/>
      <c r="E26" s="649">
        <v>112</v>
      </c>
      <c r="F26" s="62"/>
    </row>
    <row r="27" spans="1:6" ht="15.95" customHeight="1" x14ac:dyDescent="0.2">
      <c r="A27" s="648" t="s">
        <v>721</v>
      </c>
      <c r="B27" s="649">
        <v>34</v>
      </c>
      <c r="C27" s="650" t="s">
        <v>665</v>
      </c>
      <c r="D27" s="649"/>
      <c r="E27" s="649">
        <v>34</v>
      </c>
      <c r="F27" s="62"/>
    </row>
    <row r="28" spans="1:6" ht="15.95" customHeight="1" x14ac:dyDescent="0.2">
      <c r="A28" s="648" t="s">
        <v>722</v>
      </c>
      <c r="B28" s="649">
        <v>120</v>
      </c>
      <c r="C28" s="650" t="s">
        <v>665</v>
      </c>
      <c r="D28" s="649"/>
      <c r="E28" s="649">
        <v>120</v>
      </c>
      <c r="F28" s="62"/>
    </row>
    <row r="29" spans="1:6" ht="15.95" customHeight="1" x14ac:dyDescent="0.2">
      <c r="A29" s="648" t="s">
        <v>729</v>
      </c>
      <c r="B29" s="649">
        <v>28</v>
      </c>
      <c r="C29" s="650" t="s">
        <v>665</v>
      </c>
      <c r="D29" s="649"/>
      <c r="E29" s="649">
        <v>28</v>
      </c>
      <c r="F29" s="62"/>
    </row>
    <row r="30" spans="1:6" ht="15.95" customHeight="1" x14ac:dyDescent="0.2">
      <c r="A30" s="648" t="s">
        <v>728</v>
      </c>
      <c r="B30" s="649">
        <v>5558</v>
      </c>
      <c r="C30" s="650" t="s">
        <v>665</v>
      </c>
      <c r="D30" s="649"/>
      <c r="E30" s="649">
        <v>5558</v>
      </c>
      <c r="F30" s="62"/>
    </row>
    <row r="31" spans="1:6" ht="15.95" customHeight="1" x14ac:dyDescent="0.2">
      <c r="A31" s="648" t="s">
        <v>730</v>
      </c>
      <c r="B31" s="649">
        <v>1000</v>
      </c>
      <c r="C31" s="650" t="s">
        <v>665</v>
      </c>
      <c r="D31" s="649"/>
      <c r="E31" s="649">
        <v>1000</v>
      </c>
      <c r="F31" s="62"/>
    </row>
    <row r="32" spans="1:6" ht="15.95" customHeight="1" x14ac:dyDescent="0.2">
      <c r="A32" s="648" t="s">
        <v>731</v>
      </c>
      <c r="B32" s="649">
        <v>750</v>
      </c>
      <c r="C32" s="650" t="s">
        <v>665</v>
      </c>
      <c r="D32" s="649"/>
      <c r="E32" s="649">
        <v>750</v>
      </c>
      <c r="F32" s="62"/>
    </row>
    <row r="33" spans="1:6" ht="15.95" customHeight="1" x14ac:dyDescent="0.2">
      <c r="A33" s="648" t="s">
        <v>737</v>
      </c>
      <c r="B33" s="649">
        <v>3450</v>
      </c>
      <c r="C33" s="650" t="s">
        <v>665</v>
      </c>
      <c r="D33" s="649"/>
      <c r="E33" s="649">
        <v>3450</v>
      </c>
      <c r="F33" s="62"/>
    </row>
    <row r="34" spans="1:6" ht="15.95" customHeight="1" x14ac:dyDescent="0.2">
      <c r="A34" s="648" t="s">
        <v>736</v>
      </c>
      <c r="B34" s="649">
        <v>10000</v>
      </c>
      <c r="C34" s="650" t="s">
        <v>665</v>
      </c>
      <c r="D34" s="649"/>
      <c r="E34" s="649">
        <v>10000</v>
      </c>
      <c r="F34" s="62"/>
    </row>
    <row r="35" spans="1:6" ht="15.95" customHeight="1" x14ac:dyDescent="0.2">
      <c r="A35" s="648" t="s">
        <v>735</v>
      </c>
      <c r="B35" s="649">
        <v>25</v>
      </c>
      <c r="C35" s="650" t="s">
        <v>665</v>
      </c>
      <c r="D35" s="649"/>
      <c r="E35" s="649">
        <v>25</v>
      </c>
      <c r="F35" s="62"/>
    </row>
    <row r="36" spans="1:6" ht="15.95" customHeight="1" x14ac:dyDescent="0.2">
      <c r="A36" s="648" t="s">
        <v>738</v>
      </c>
      <c r="B36" s="649">
        <v>1700</v>
      </c>
      <c r="C36" s="650" t="s">
        <v>665</v>
      </c>
      <c r="D36" s="649"/>
      <c r="E36" s="649">
        <v>1700</v>
      </c>
      <c r="F36" s="62"/>
    </row>
    <row r="37" spans="1:6" ht="15.95" customHeight="1" x14ac:dyDescent="0.2">
      <c r="A37" s="648" t="s">
        <v>724</v>
      </c>
      <c r="B37" s="649">
        <f>15000-28-5558-1750-3450-1725</f>
        <v>2489</v>
      </c>
      <c r="C37" s="650" t="s">
        <v>665</v>
      </c>
      <c r="D37" s="649"/>
      <c r="E37" s="649">
        <f>15000-28-5558-1750-3450-1725</f>
        <v>2489</v>
      </c>
      <c r="F37" s="62"/>
    </row>
    <row r="38" spans="1:6" ht="15.75" customHeight="1" x14ac:dyDescent="0.2">
      <c r="A38" s="668" t="s">
        <v>646</v>
      </c>
      <c r="B38" s="28">
        <v>6000</v>
      </c>
      <c r="C38" s="519" t="s">
        <v>665</v>
      </c>
      <c r="D38" s="28"/>
      <c r="E38" s="28">
        <v>6000</v>
      </c>
      <c r="F38" s="62">
        <f t="shared" ref="F38:F45" si="0">B38-D38-E38</f>
        <v>0</v>
      </c>
    </row>
    <row r="39" spans="1:6" ht="15.95" customHeight="1" x14ac:dyDescent="0.2">
      <c r="A39" s="608" t="s">
        <v>647</v>
      </c>
      <c r="B39" s="28">
        <f>15000+6804</f>
        <v>21804</v>
      </c>
      <c r="C39" s="519" t="s">
        <v>665</v>
      </c>
      <c r="D39" s="28"/>
      <c r="E39" s="28">
        <f>15000+6804</f>
        <v>21804</v>
      </c>
      <c r="F39" s="62">
        <f t="shared" si="0"/>
        <v>0</v>
      </c>
    </row>
    <row r="40" spans="1:6" ht="15.95" customHeight="1" x14ac:dyDescent="0.2">
      <c r="A40" s="518" t="s">
        <v>666</v>
      </c>
      <c r="B40" s="28">
        <v>10000</v>
      </c>
      <c r="C40" s="519" t="s">
        <v>665</v>
      </c>
      <c r="D40" s="28"/>
      <c r="E40" s="28">
        <v>10000</v>
      </c>
      <c r="F40" s="62">
        <f t="shared" si="0"/>
        <v>0</v>
      </c>
    </row>
    <row r="41" spans="1:6" ht="23.25" customHeight="1" x14ac:dyDescent="0.2">
      <c r="A41" s="667" t="s">
        <v>672</v>
      </c>
      <c r="B41" s="28">
        <v>2472</v>
      </c>
      <c r="C41" s="519" t="s">
        <v>665</v>
      </c>
      <c r="D41" s="28"/>
      <c r="E41" s="28">
        <v>2472</v>
      </c>
      <c r="F41" s="62">
        <f t="shared" si="0"/>
        <v>0</v>
      </c>
    </row>
    <row r="42" spans="1:6" ht="15.95" customHeight="1" x14ac:dyDescent="0.2">
      <c r="A42" s="518" t="s">
        <v>671</v>
      </c>
      <c r="B42" s="28">
        <f>1321-415</f>
        <v>906</v>
      </c>
      <c r="C42" s="519" t="s">
        <v>665</v>
      </c>
      <c r="D42" s="28"/>
      <c r="E42" s="28">
        <f>1321-415</f>
        <v>906</v>
      </c>
      <c r="F42" s="62">
        <f t="shared" si="0"/>
        <v>0</v>
      </c>
    </row>
    <row r="43" spans="1:6" ht="15.95" customHeight="1" x14ac:dyDescent="0.2">
      <c r="A43" s="518" t="s">
        <v>668</v>
      </c>
      <c r="B43" s="28">
        <v>1000</v>
      </c>
      <c r="C43" s="519" t="s">
        <v>665</v>
      </c>
      <c r="D43" s="28"/>
      <c r="E43" s="28">
        <v>1000</v>
      </c>
      <c r="F43" s="62">
        <f t="shared" si="0"/>
        <v>0</v>
      </c>
    </row>
    <row r="44" spans="1:6" ht="15.95" customHeight="1" x14ac:dyDescent="0.2">
      <c r="A44" s="518" t="s">
        <v>667</v>
      </c>
      <c r="B44" s="28">
        <v>1524</v>
      </c>
      <c r="C44" s="519" t="s">
        <v>665</v>
      </c>
      <c r="D44" s="28"/>
      <c r="E44" s="28">
        <v>1524</v>
      </c>
      <c r="F44" s="62">
        <f t="shared" si="0"/>
        <v>0</v>
      </c>
    </row>
    <row r="45" spans="1:6" ht="15" customHeight="1" thickBot="1" x14ac:dyDescent="0.25">
      <c r="A45" s="669" t="s">
        <v>725</v>
      </c>
      <c r="B45" s="29">
        <f>127643+288798</f>
        <v>416441</v>
      </c>
      <c r="C45" s="520" t="s">
        <v>665</v>
      </c>
      <c r="D45" s="29"/>
      <c r="E45" s="29">
        <f>127643+288798</f>
        <v>416441</v>
      </c>
      <c r="F45" s="64">
        <f t="shared" si="0"/>
        <v>0</v>
      </c>
    </row>
    <row r="46" spans="1:6" s="67" customFormat="1" ht="18" customHeight="1" thickBot="1" x14ac:dyDescent="0.25">
      <c r="A46" s="218" t="s">
        <v>65</v>
      </c>
      <c r="B46" s="65">
        <f>+B5+B6+B38+B39+B40+B41+B42+B43+B44+B45</f>
        <v>549397</v>
      </c>
      <c r="C46" s="144"/>
      <c r="D46" s="65">
        <f>SUM(D5:D45)</f>
        <v>0</v>
      </c>
      <c r="E46" s="65">
        <f>+E5+E6+E38+E39+E40+E41+E42+E43+E44+E45</f>
        <v>549397</v>
      </c>
      <c r="F46" s="66">
        <f>SUM(F5:F45)</f>
        <v>0</v>
      </c>
    </row>
  </sheetData>
  <mergeCells count="1">
    <mergeCell ref="A1:F1"/>
  </mergeCells>
  <phoneticPr fontId="0" type="noConversion"/>
  <printOptions horizontalCentered="1"/>
  <pageMargins left="0.78740157480314965" right="0.78740157480314965" top="1.0236220472440944" bottom="0.98425196850393704" header="0.78740157480314965" footer="0.78740157480314965"/>
  <pageSetup paperSize="9" scale="91" orientation="portrait" r:id="rId1"/>
  <headerFooter alignWithMargins="0">
    <oddHeader>&amp;R&amp;"Times New Roman CE,Félkövér dőlt"&amp;11 6. melléklet a 6/2017. (III. 13.) önkormányzati rendelethez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2"/>
  <sheetViews>
    <sheetView view="pageLayout" zoomScaleNormal="100" workbookViewId="0">
      <selection activeCell="B5" sqref="B5:E12"/>
    </sheetView>
  </sheetViews>
  <sheetFormatPr defaultRowHeight="12.75" x14ac:dyDescent="0.2"/>
  <cols>
    <col min="1" max="1" width="60.6640625" style="48" customWidth="1"/>
    <col min="2" max="2" width="15.6640625" style="47" customWidth="1"/>
    <col min="3" max="3" width="16.33203125" style="47" customWidth="1"/>
    <col min="4" max="4" width="18" style="47" customWidth="1"/>
    <col min="5" max="5" width="16.6640625" style="47" customWidth="1"/>
    <col min="6" max="6" width="18.83203125" style="47" customWidth="1"/>
    <col min="7" max="8" width="12.83203125" style="47" customWidth="1"/>
    <col min="9" max="9" width="13.83203125" style="47" customWidth="1"/>
    <col min="10" max="16384" width="9.33203125" style="47"/>
  </cols>
  <sheetData>
    <row r="1" spans="1:6" ht="24.75" customHeight="1" x14ac:dyDescent="0.2">
      <c r="A1" s="692" t="s">
        <v>1</v>
      </c>
      <c r="B1" s="692"/>
      <c r="C1" s="692"/>
      <c r="D1" s="692"/>
      <c r="E1" s="692"/>
      <c r="F1" s="692"/>
    </row>
    <row r="2" spans="1:6" ht="23.25" customHeight="1" thickBot="1" x14ac:dyDescent="0.3">
      <c r="A2" s="215"/>
      <c r="B2" s="61"/>
      <c r="C2" s="61"/>
      <c r="D2" s="61"/>
      <c r="E2" s="61"/>
      <c r="F2" s="57" t="s">
        <v>62</v>
      </c>
    </row>
    <row r="3" spans="1:6" s="50" customFormat="1" ht="48.75" customHeight="1" thickBot="1" x14ac:dyDescent="0.25">
      <c r="A3" s="216" t="s">
        <v>69</v>
      </c>
      <c r="B3" s="217" t="s">
        <v>67</v>
      </c>
      <c r="C3" s="217" t="s">
        <v>68</v>
      </c>
      <c r="D3" s="217" t="str">
        <f>+'6.sz.mell.'!D3</f>
        <v>Felhasználás   2016. XII. 31-ig</v>
      </c>
      <c r="E3" s="217" t="str">
        <f>+'6.sz.mell.'!E3</f>
        <v>2017. évi előirányzat</v>
      </c>
      <c r="F3" s="569" t="str">
        <f>+CONCATENATE(LEFT(ÖSSZEFÜGGÉSEK!A5,4),". utáni szükséglet ",CHAR(10),"")</f>
        <v xml:space="preserve">2017. utáni szükséglet 
</v>
      </c>
    </row>
    <row r="4" spans="1:6" s="61" customFormat="1" ht="15" customHeight="1" thickBot="1" x14ac:dyDescent="0.25">
      <c r="A4" s="59" t="s">
        <v>496</v>
      </c>
      <c r="B4" s="60" t="s">
        <v>497</v>
      </c>
      <c r="C4" s="60" t="s">
        <v>498</v>
      </c>
      <c r="D4" s="60" t="s">
        <v>500</v>
      </c>
      <c r="E4" s="60" t="s">
        <v>499</v>
      </c>
      <c r="F4" s="572" t="s">
        <v>566</v>
      </c>
    </row>
    <row r="5" spans="1:6" ht="15.95" customHeight="1" x14ac:dyDescent="0.2">
      <c r="A5" s="68" t="s">
        <v>669</v>
      </c>
      <c r="B5" s="69">
        <v>1000</v>
      </c>
      <c r="C5" s="521" t="s">
        <v>665</v>
      </c>
      <c r="D5" s="69"/>
      <c r="E5" s="69">
        <v>1000</v>
      </c>
      <c r="F5" s="70">
        <f t="shared" ref="F5:F11" si="0">B5-D5-E5</f>
        <v>0</v>
      </c>
    </row>
    <row r="6" spans="1:6" ht="15.95" customHeight="1" x14ac:dyDescent="0.2">
      <c r="A6" s="68" t="s">
        <v>734</v>
      </c>
      <c r="B6" s="69">
        <v>21038</v>
      </c>
      <c r="C6" s="521" t="s">
        <v>665</v>
      </c>
      <c r="D6" s="69"/>
      <c r="E6" s="69">
        <v>21038</v>
      </c>
      <c r="F6" s="70">
        <f t="shared" si="0"/>
        <v>0</v>
      </c>
    </row>
    <row r="7" spans="1:6" ht="15.95" customHeight="1" x14ac:dyDescent="0.2">
      <c r="A7" s="68" t="s">
        <v>723</v>
      </c>
      <c r="B7" s="69">
        <f>9917+415</f>
        <v>10332</v>
      </c>
      <c r="C7" s="521" t="s">
        <v>665</v>
      </c>
      <c r="D7" s="69"/>
      <c r="E7" s="69">
        <f>9917+415</f>
        <v>10332</v>
      </c>
      <c r="F7" s="70">
        <f t="shared" si="0"/>
        <v>0</v>
      </c>
    </row>
    <row r="8" spans="1:6" ht="15.95" customHeight="1" x14ac:dyDescent="0.2">
      <c r="A8" s="68" t="s">
        <v>739</v>
      </c>
      <c r="B8" s="69">
        <v>13335</v>
      </c>
      <c r="C8" s="521" t="s">
        <v>665</v>
      </c>
      <c r="D8" s="69"/>
      <c r="E8" s="69">
        <v>13335</v>
      </c>
      <c r="F8" s="70">
        <f t="shared" si="0"/>
        <v>0</v>
      </c>
    </row>
    <row r="9" spans="1:6" ht="15.95" customHeight="1" x14ac:dyDescent="0.2">
      <c r="A9" s="68"/>
      <c r="B9" s="69"/>
      <c r="C9" s="521"/>
      <c r="D9" s="69"/>
      <c r="E9" s="69"/>
      <c r="F9" s="70">
        <f t="shared" si="0"/>
        <v>0</v>
      </c>
    </row>
    <row r="10" spans="1:6" ht="15.95" customHeight="1" x14ac:dyDescent="0.2">
      <c r="A10" s="68"/>
      <c r="B10" s="69"/>
      <c r="C10" s="521"/>
      <c r="D10" s="69"/>
      <c r="E10" s="69"/>
      <c r="F10" s="70">
        <f t="shared" si="0"/>
        <v>0</v>
      </c>
    </row>
    <row r="11" spans="1:6" ht="15.95" customHeight="1" thickBot="1" x14ac:dyDescent="0.25">
      <c r="A11" s="71"/>
      <c r="B11" s="72"/>
      <c r="C11" s="522"/>
      <c r="D11" s="72"/>
      <c r="E11" s="72"/>
      <c r="F11" s="73">
        <f t="shared" si="0"/>
        <v>0</v>
      </c>
    </row>
    <row r="12" spans="1:6" s="67" customFormat="1" ht="18" customHeight="1" thickBot="1" x14ac:dyDescent="0.25">
      <c r="A12" s="218" t="s">
        <v>65</v>
      </c>
      <c r="B12" s="219">
        <f>SUM(B5:B11)</f>
        <v>45705</v>
      </c>
      <c r="C12" s="145"/>
      <c r="D12" s="219">
        <f>SUM(D5:D11)</f>
        <v>0</v>
      </c>
      <c r="E12" s="219">
        <f>SUM(E5:E11)</f>
        <v>45705</v>
      </c>
      <c r="F12" s="74">
        <f>SUM(F5:F11)</f>
        <v>0</v>
      </c>
    </row>
  </sheetData>
  <mergeCells count="1">
    <mergeCell ref="A1:F1"/>
  </mergeCells>
  <phoneticPr fontId="0" type="noConversion"/>
  <printOptions horizontalCentered="1"/>
  <pageMargins left="0.78740157480314965" right="0.78740157480314965" top="1.2204724409448819" bottom="0.98425196850393704" header="0.78740157480314965" footer="0.78740157480314965"/>
  <pageSetup paperSize="9" scale="95" orientation="landscape" r:id="rId1"/>
  <headerFooter alignWithMargins="0">
    <oddHeader xml:space="preserve">&amp;R&amp;"Times New Roman CE,Félkövér dőlt"&amp;12 &amp;11 7. melléklet a 6/2017. (III. 13.) önkormányzati rendelethez&amp;"Times New Roman CE,Normál"&amp;10
  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77"/>
  <sheetViews>
    <sheetView view="pageLayout" topLeftCell="A157" zoomScaleNormal="100" workbookViewId="0">
      <selection activeCell="B172" sqref="B172"/>
    </sheetView>
  </sheetViews>
  <sheetFormatPr defaultRowHeight="12.75" x14ac:dyDescent="0.2"/>
  <cols>
    <col min="1" max="1" width="38.6640625" style="52" customWidth="1"/>
    <col min="2" max="5" width="13.83203125" style="52" customWidth="1"/>
    <col min="6" max="16384" width="9.33203125" style="52"/>
  </cols>
  <sheetData>
    <row r="1" spans="1:5" x14ac:dyDescent="0.2">
      <c r="A1" s="240"/>
      <c r="B1" s="240"/>
      <c r="C1" s="240"/>
      <c r="D1" s="240"/>
      <c r="E1" s="240"/>
    </row>
    <row r="2" spans="1:5" ht="30.75" customHeight="1" x14ac:dyDescent="0.2">
      <c r="A2" s="657" t="s">
        <v>141</v>
      </c>
      <c r="B2" s="693" t="s">
        <v>705</v>
      </c>
      <c r="C2" s="693"/>
      <c r="D2" s="693"/>
      <c r="E2" s="693"/>
    </row>
    <row r="3" spans="1:5" ht="14.25" thickBot="1" x14ac:dyDescent="0.3">
      <c r="A3" s="240"/>
      <c r="B3" s="240"/>
      <c r="C3" s="240"/>
      <c r="D3" s="694" t="s">
        <v>134</v>
      </c>
      <c r="E3" s="694"/>
    </row>
    <row r="4" spans="1:5" ht="15" customHeight="1" thickBot="1" x14ac:dyDescent="0.25">
      <c r="A4" s="242" t="s">
        <v>133</v>
      </c>
      <c r="B4" s="243" t="str">
        <f>CONCATENATE((LEFT(ÖSSZEFÜGGÉSEK!A5,4)),".")</f>
        <v>2017.</v>
      </c>
      <c r="C4" s="243" t="str">
        <f>CONCATENATE((LEFT(ÖSSZEFÜGGÉSEK!A5,4))+1,".")</f>
        <v>2018.</v>
      </c>
      <c r="D4" s="243" t="str">
        <f>CONCATENATE((LEFT(ÖSSZEFÜGGÉSEK!A5,4))+1,". után")</f>
        <v>2018. után</v>
      </c>
      <c r="E4" s="244" t="s">
        <v>51</v>
      </c>
    </row>
    <row r="5" spans="1:5" x14ac:dyDescent="0.2">
      <c r="A5" s="245" t="s">
        <v>135</v>
      </c>
      <c r="B5" s="107"/>
      <c r="C5" s="107"/>
      <c r="D5" s="107"/>
      <c r="E5" s="246">
        <f t="shared" ref="E5:E11" si="0">SUM(B5:D5)</f>
        <v>0</v>
      </c>
    </row>
    <row r="6" spans="1:5" x14ac:dyDescent="0.2">
      <c r="A6" s="247" t="s">
        <v>147</v>
      </c>
      <c r="B6" s="108"/>
      <c r="C6" s="108"/>
      <c r="D6" s="108"/>
      <c r="E6" s="248">
        <f t="shared" si="0"/>
        <v>0</v>
      </c>
    </row>
    <row r="7" spans="1:5" x14ac:dyDescent="0.2">
      <c r="A7" s="249" t="s">
        <v>136</v>
      </c>
      <c r="B7" s="109">
        <f>19595+40864</f>
        <v>60459</v>
      </c>
      <c r="C7" s="109"/>
      <c r="D7" s="109"/>
      <c r="E7" s="250">
        <f t="shared" si="0"/>
        <v>60459</v>
      </c>
    </row>
    <row r="8" spans="1:5" x14ac:dyDescent="0.2">
      <c r="A8" s="249" t="s">
        <v>148</v>
      </c>
      <c r="B8" s="109"/>
      <c r="C8" s="109"/>
      <c r="D8" s="109"/>
      <c r="E8" s="250">
        <f t="shared" si="0"/>
        <v>0</v>
      </c>
    </row>
    <row r="9" spans="1:5" x14ac:dyDescent="0.2">
      <c r="A9" s="249" t="s">
        <v>137</v>
      </c>
      <c r="B9" s="109"/>
      <c r="C9" s="109"/>
      <c r="D9" s="109"/>
      <c r="E9" s="250">
        <f t="shared" si="0"/>
        <v>0</v>
      </c>
    </row>
    <row r="10" spans="1:5" x14ac:dyDescent="0.2">
      <c r="A10" s="249" t="s">
        <v>138</v>
      </c>
      <c r="B10" s="109"/>
      <c r="C10" s="109"/>
      <c r="D10" s="109"/>
      <c r="E10" s="250">
        <f t="shared" si="0"/>
        <v>0</v>
      </c>
    </row>
    <row r="11" spans="1:5" ht="13.5" thickBot="1" x14ac:dyDescent="0.25">
      <c r="A11" s="110"/>
      <c r="B11" s="111"/>
      <c r="C11" s="111"/>
      <c r="D11" s="111"/>
      <c r="E11" s="250">
        <f t="shared" si="0"/>
        <v>0</v>
      </c>
    </row>
    <row r="12" spans="1:5" ht="13.5" thickBot="1" x14ac:dyDescent="0.25">
      <c r="A12" s="251" t="s">
        <v>140</v>
      </c>
      <c r="B12" s="252">
        <f>B5+SUM(B7:B11)</f>
        <v>60459</v>
      </c>
      <c r="C12" s="252">
        <f>C5+SUM(C7:C11)</f>
        <v>0</v>
      </c>
      <c r="D12" s="252">
        <f>D5+SUM(D7:D11)</f>
        <v>0</v>
      </c>
      <c r="E12" s="253">
        <f>E5+SUM(E7:E11)</f>
        <v>60459</v>
      </c>
    </row>
    <row r="13" spans="1:5" ht="13.5" thickBot="1" x14ac:dyDescent="0.25">
      <c r="A13" s="56"/>
      <c r="B13" s="56"/>
      <c r="C13" s="56"/>
      <c r="D13" s="56"/>
      <c r="E13" s="56"/>
    </row>
    <row r="14" spans="1:5" ht="15" customHeight="1" thickBot="1" x14ac:dyDescent="0.25">
      <c r="A14" s="242" t="s">
        <v>139</v>
      </c>
      <c r="B14" s="243" t="str">
        <f>+B4</f>
        <v>2017.</v>
      </c>
      <c r="C14" s="243" t="str">
        <f>+C4</f>
        <v>2018.</v>
      </c>
      <c r="D14" s="243" t="str">
        <f>+D4</f>
        <v>2018. után</v>
      </c>
      <c r="E14" s="244" t="s">
        <v>51</v>
      </c>
    </row>
    <row r="15" spans="1:5" x14ac:dyDescent="0.2">
      <c r="A15" s="245" t="s">
        <v>143</v>
      </c>
      <c r="B15" s="107">
        <f>3920+13285+3588</f>
        <v>20793</v>
      </c>
      <c r="C15" s="107"/>
      <c r="D15" s="107"/>
      <c r="E15" s="246">
        <f t="shared" ref="E15:E21" si="1">SUM(B15:D15)</f>
        <v>20793</v>
      </c>
    </row>
    <row r="16" spans="1:5" x14ac:dyDescent="0.2">
      <c r="A16" s="254" t="s">
        <v>144</v>
      </c>
      <c r="B16" s="109">
        <f>2472+2472</f>
        <v>4944</v>
      </c>
      <c r="C16" s="109"/>
      <c r="D16" s="109"/>
      <c r="E16" s="250">
        <f t="shared" si="1"/>
        <v>4944</v>
      </c>
    </row>
    <row r="17" spans="1:5" x14ac:dyDescent="0.2">
      <c r="A17" s="249" t="s">
        <v>145</v>
      </c>
      <c r="B17" s="109">
        <f>10262+21519</f>
        <v>31781</v>
      </c>
      <c r="C17" s="109"/>
      <c r="D17" s="109"/>
      <c r="E17" s="250">
        <f t="shared" si="1"/>
        <v>31781</v>
      </c>
    </row>
    <row r="18" spans="1:5" x14ac:dyDescent="0.2">
      <c r="A18" s="249" t="s">
        <v>146</v>
      </c>
      <c r="B18" s="109">
        <v>2941</v>
      </c>
      <c r="C18" s="109"/>
      <c r="D18" s="109"/>
      <c r="E18" s="250">
        <f t="shared" si="1"/>
        <v>2941</v>
      </c>
    </row>
    <row r="19" spans="1:5" x14ac:dyDescent="0.2">
      <c r="A19" s="112"/>
      <c r="B19" s="109"/>
      <c r="C19" s="109"/>
      <c r="D19" s="109"/>
      <c r="E19" s="250">
        <f t="shared" si="1"/>
        <v>0</v>
      </c>
    </row>
    <row r="20" spans="1:5" x14ac:dyDescent="0.2">
      <c r="A20" s="112"/>
      <c r="B20" s="109"/>
      <c r="C20" s="109"/>
      <c r="D20" s="109"/>
      <c r="E20" s="250">
        <f t="shared" si="1"/>
        <v>0</v>
      </c>
    </row>
    <row r="21" spans="1:5" ht="13.5" thickBot="1" x14ac:dyDescent="0.25">
      <c r="A21" s="110"/>
      <c r="B21" s="111"/>
      <c r="C21" s="111"/>
      <c r="D21" s="111"/>
      <c r="E21" s="250">
        <f t="shared" si="1"/>
        <v>0</v>
      </c>
    </row>
    <row r="22" spans="1:5" ht="13.5" thickBot="1" x14ac:dyDescent="0.25">
      <c r="A22" s="251" t="s">
        <v>53</v>
      </c>
      <c r="B22" s="252">
        <f>SUM(B15:B21)</f>
        <v>60459</v>
      </c>
      <c r="C22" s="252">
        <f>SUM(C15:C21)</f>
        <v>0</v>
      </c>
      <c r="D22" s="252">
        <f>SUM(D15:D21)</f>
        <v>0</v>
      </c>
      <c r="E22" s="253">
        <f>SUM(E15:E21)</f>
        <v>60459</v>
      </c>
    </row>
    <row r="23" spans="1:5" x14ac:dyDescent="0.2">
      <c r="A23" s="240"/>
      <c r="B23" s="240"/>
      <c r="C23" s="240"/>
      <c r="D23" s="240"/>
      <c r="E23" s="240"/>
    </row>
    <row r="24" spans="1:5" x14ac:dyDescent="0.2">
      <c r="A24" s="240"/>
      <c r="B24" s="240"/>
      <c r="C24" s="240"/>
      <c r="D24" s="240"/>
      <c r="E24" s="240"/>
    </row>
    <row r="25" spans="1:5" ht="30.75" customHeight="1" x14ac:dyDescent="0.25">
      <c r="A25" s="241" t="s">
        <v>141</v>
      </c>
      <c r="B25" s="693" t="s">
        <v>740</v>
      </c>
      <c r="C25" s="693"/>
      <c r="D25" s="693"/>
      <c r="E25" s="693"/>
    </row>
    <row r="26" spans="1:5" ht="14.25" thickBot="1" x14ac:dyDescent="0.3">
      <c r="A26" s="240"/>
      <c r="B26" s="240"/>
      <c r="C26" s="240"/>
      <c r="D26" s="694" t="s">
        <v>134</v>
      </c>
      <c r="E26" s="694"/>
    </row>
    <row r="27" spans="1:5" ht="13.5" thickBot="1" x14ac:dyDescent="0.25">
      <c r="A27" s="242" t="s">
        <v>133</v>
      </c>
      <c r="B27" s="243" t="str">
        <f>+B14</f>
        <v>2017.</v>
      </c>
      <c r="C27" s="243" t="str">
        <f>+C14</f>
        <v>2018.</v>
      </c>
      <c r="D27" s="243" t="str">
        <f>+D14</f>
        <v>2018. után</v>
      </c>
      <c r="E27" s="244" t="s">
        <v>51</v>
      </c>
    </row>
    <row r="28" spans="1:5" x14ac:dyDescent="0.2">
      <c r="A28" s="245" t="s">
        <v>135</v>
      </c>
      <c r="B28" s="107"/>
      <c r="C28" s="107"/>
      <c r="D28" s="107"/>
      <c r="E28" s="246">
        <f t="shared" ref="E28:E34" si="2">SUM(B28:D28)</f>
        <v>0</v>
      </c>
    </row>
    <row r="29" spans="1:5" x14ac:dyDescent="0.2">
      <c r="A29" s="247" t="s">
        <v>147</v>
      </c>
      <c r="B29" s="108"/>
      <c r="C29" s="108"/>
      <c r="D29" s="108"/>
      <c r="E29" s="248">
        <f t="shared" si="2"/>
        <v>0</v>
      </c>
    </row>
    <row r="30" spans="1:5" x14ac:dyDescent="0.2">
      <c r="A30" s="249" t="s">
        <v>136</v>
      </c>
      <c r="B30" s="109">
        <v>72095</v>
      </c>
      <c r="C30" s="109"/>
      <c r="D30" s="109"/>
      <c r="E30" s="250">
        <f t="shared" si="2"/>
        <v>72095</v>
      </c>
    </row>
    <row r="31" spans="1:5" x14ac:dyDescent="0.2">
      <c r="A31" s="249" t="s">
        <v>148</v>
      </c>
      <c r="B31" s="109"/>
      <c r="C31" s="109"/>
      <c r="D31" s="109"/>
      <c r="E31" s="250">
        <f t="shared" si="2"/>
        <v>0</v>
      </c>
    </row>
    <row r="32" spans="1:5" x14ac:dyDescent="0.2">
      <c r="A32" s="249" t="s">
        <v>137</v>
      </c>
      <c r="B32" s="109"/>
      <c r="C32" s="109"/>
      <c r="D32" s="109"/>
      <c r="E32" s="250">
        <f t="shared" si="2"/>
        <v>0</v>
      </c>
    </row>
    <row r="33" spans="1:5" x14ac:dyDescent="0.2">
      <c r="A33" s="249" t="s">
        <v>138</v>
      </c>
      <c r="B33" s="109"/>
      <c r="C33" s="109"/>
      <c r="D33" s="109"/>
      <c r="E33" s="250">
        <f t="shared" si="2"/>
        <v>0</v>
      </c>
    </row>
    <row r="34" spans="1:5" ht="13.5" thickBot="1" x14ac:dyDescent="0.25">
      <c r="A34" s="110"/>
      <c r="B34" s="111"/>
      <c r="C34" s="111"/>
      <c r="D34" s="111"/>
      <c r="E34" s="250">
        <f t="shared" si="2"/>
        <v>0</v>
      </c>
    </row>
    <row r="35" spans="1:5" ht="13.5" thickBot="1" x14ac:dyDescent="0.25">
      <c r="A35" s="251" t="s">
        <v>140</v>
      </c>
      <c r="B35" s="252">
        <f>B28+SUM(B30:B34)</f>
        <v>72095</v>
      </c>
      <c r="C35" s="252">
        <f>C28+SUM(C30:C34)</f>
        <v>0</v>
      </c>
      <c r="D35" s="252">
        <f>D28+SUM(D30:D34)</f>
        <v>0</v>
      </c>
      <c r="E35" s="253">
        <f>E28+SUM(E30:E34)</f>
        <v>72095</v>
      </c>
    </row>
    <row r="36" spans="1:5" ht="13.5" thickBot="1" x14ac:dyDescent="0.25">
      <c r="A36" s="56"/>
      <c r="B36" s="56"/>
      <c r="C36" s="56"/>
      <c r="D36" s="56"/>
      <c r="E36" s="56"/>
    </row>
    <row r="37" spans="1:5" ht="13.5" thickBot="1" x14ac:dyDescent="0.25">
      <c r="A37" s="242" t="s">
        <v>139</v>
      </c>
      <c r="B37" s="243" t="str">
        <f>+B27</f>
        <v>2017.</v>
      </c>
      <c r="C37" s="243" t="str">
        <f>+C27</f>
        <v>2018.</v>
      </c>
      <c r="D37" s="243" t="str">
        <f>+D27</f>
        <v>2018. után</v>
      </c>
      <c r="E37" s="244" t="s">
        <v>51</v>
      </c>
    </row>
    <row r="38" spans="1:5" x14ac:dyDescent="0.2">
      <c r="A38" s="245" t="s">
        <v>143</v>
      </c>
      <c r="B38" s="107">
        <v>1898</v>
      </c>
      <c r="C38" s="107"/>
      <c r="D38" s="107"/>
      <c r="E38" s="246">
        <f t="shared" ref="E38:E44" si="3">SUM(B38:D38)</f>
        <v>1898</v>
      </c>
    </row>
    <row r="39" spans="1:5" x14ac:dyDescent="0.2">
      <c r="A39" s="254" t="s">
        <v>144</v>
      </c>
      <c r="B39" s="109">
        <v>65081</v>
      </c>
      <c r="C39" s="109"/>
      <c r="D39" s="109"/>
      <c r="E39" s="250">
        <f t="shared" si="3"/>
        <v>65081</v>
      </c>
    </row>
    <row r="40" spans="1:5" x14ac:dyDescent="0.2">
      <c r="A40" s="249" t="s">
        <v>145</v>
      </c>
      <c r="B40" s="109">
        <v>5116</v>
      </c>
      <c r="C40" s="109"/>
      <c r="D40" s="109"/>
      <c r="E40" s="250">
        <f t="shared" si="3"/>
        <v>5116</v>
      </c>
    </row>
    <row r="41" spans="1:5" x14ac:dyDescent="0.2">
      <c r="A41" s="249" t="s">
        <v>146</v>
      </c>
      <c r="B41" s="109"/>
      <c r="C41" s="109"/>
      <c r="D41" s="109"/>
      <c r="E41" s="250">
        <f t="shared" si="3"/>
        <v>0</v>
      </c>
    </row>
    <row r="42" spans="1:5" x14ac:dyDescent="0.2">
      <c r="A42" s="112"/>
      <c r="B42" s="109"/>
      <c r="C42" s="109"/>
      <c r="D42" s="109"/>
      <c r="E42" s="250">
        <f t="shared" si="3"/>
        <v>0</v>
      </c>
    </row>
    <row r="43" spans="1:5" x14ac:dyDescent="0.2">
      <c r="A43" s="112"/>
      <c r="B43" s="109"/>
      <c r="C43" s="109"/>
      <c r="D43" s="109"/>
      <c r="E43" s="250">
        <f t="shared" si="3"/>
        <v>0</v>
      </c>
    </row>
    <row r="44" spans="1:5" ht="13.5" thickBot="1" x14ac:dyDescent="0.25">
      <c r="A44" s="110"/>
      <c r="B44" s="111"/>
      <c r="C44" s="111"/>
      <c r="D44" s="111"/>
      <c r="E44" s="250">
        <f t="shared" si="3"/>
        <v>0</v>
      </c>
    </row>
    <row r="45" spans="1:5" ht="13.5" thickBot="1" x14ac:dyDescent="0.25">
      <c r="A45" s="251" t="s">
        <v>53</v>
      </c>
      <c r="B45" s="252">
        <f>SUM(B38:B44)</f>
        <v>72095</v>
      </c>
      <c r="C45" s="252">
        <f>SUM(C38:C44)</f>
        <v>0</v>
      </c>
      <c r="D45" s="252">
        <f>SUM(D38:D44)</f>
        <v>0</v>
      </c>
      <c r="E45" s="253">
        <f>SUM(E38:E44)</f>
        <v>72095</v>
      </c>
    </row>
    <row r="46" spans="1:5" x14ac:dyDescent="0.2">
      <c r="A46" s="240"/>
      <c r="B46" s="240"/>
      <c r="C46" s="240"/>
      <c r="D46" s="240"/>
      <c r="E46" s="240"/>
    </row>
    <row r="55" spans="1:5" ht="27.75" customHeight="1" x14ac:dyDescent="0.25">
      <c r="A55" s="241" t="s">
        <v>141</v>
      </c>
      <c r="B55" s="693" t="s">
        <v>741</v>
      </c>
      <c r="C55" s="693"/>
      <c r="D55" s="693"/>
      <c r="E55" s="693"/>
    </row>
    <row r="56" spans="1:5" ht="14.25" thickBot="1" x14ac:dyDescent="0.3">
      <c r="A56" s="240"/>
      <c r="B56" s="240"/>
      <c r="C56" s="240"/>
      <c r="D56" s="694" t="s">
        <v>134</v>
      </c>
      <c r="E56" s="694"/>
    </row>
    <row r="57" spans="1:5" ht="13.5" thickBot="1" x14ac:dyDescent="0.25">
      <c r="A57" s="242" t="s">
        <v>133</v>
      </c>
      <c r="B57" s="243" t="str">
        <f>+B4</f>
        <v>2017.</v>
      </c>
      <c r="C57" s="243" t="str">
        <f t="shared" ref="C57:D57" si="4">+C4</f>
        <v>2018.</v>
      </c>
      <c r="D57" s="243" t="str">
        <f t="shared" si="4"/>
        <v>2018. után</v>
      </c>
      <c r="E57" s="244" t="s">
        <v>51</v>
      </c>
    </row>
    <row r="58" spans="1:5" x14ac:dyDescent="0.2">
      <c r="A58" s="245" t="s">
        <v>135</v>
      </c>
      <c r="B58" s="107"/>
      <c r="C58" s="107"/>
      <c r="D58" s="107"/>
      <c r="E58" s="246">
        <f t="shared" ref="E58:E64" si="5">SUM(B58:D58)</f>
        <v>0</v>
      </c>
    </row>
    <row r="59" spans="1:5" x14ac:dyDescent="0.2">
      <c r="A59" s="247" t="s">
        <v>147</v>
      </c>
      <c r="B59" s="108"/>
      <c r="C59" s="108"/>
      <c r="D59" s="108"/>
      <c r="E59" s="248">
        <f t="shared" si="5"/>
        <v>0</v>
      </c>
    </row>
    <row r="60" spans="1:5" x14ac:dyDescent="0.2">
      <c r="A60" s="249" t="s">
        <v>136</v>
      </c>
      <c r="B60" s="109">
        <v>49995</v>
      </c>
      <c r="C60" s="109"/>
      <c r="D60" s="109"/>
      <c r="E60" s="250">
        <f t="shared" si="5"/>
        <v>49995</v>
      </c>
    </row>
    <row r="61" spans="1:5" x14ac:dyDescent="0.2">
      <c r="A61" s="249" t="s">
        <v>148</v>
      </c>
      <c r="B61" s="109"/>
      <c r="C61" s="109"/>
      <c r="D61" s="109"/>
      <c r="E61" s="250">
        <f t="shared" si="5"/>
        <v>0</v>
      </c>
    </row>
    <row r="62" spans="1:5" x14ac:dyDescent="0.2">
      <c r="A62" s="249" t="s">
        <v>137</v>
      </c>
      <c r="B62" s="109"/>
      <c r="C62" s="109"/>
      <c r="D62" s="109"/>
      <c r="E62" s="250">
        <f t="shared" si="5"/>
        <v>0</v>
      </c>
    </row>
    <row r="63" spans="1:5" x14ac:dyDescent="0.2">
      <c r="A63" s="249" t="s">
        <v>138</v>
      </c>
      <c r="B63" s="109"/>
      <c r="C63" s="109"/>
      <c r="D63" s="109"/>
      <c r="E63" s="250">
        <f t="shared" si="5"/>
        <v>0</v>
      </c>
    </row>
    <row r="64" spans="1:5" ht="13.5" thickBot="1" x14ac:dyDescent="0.25">
      <c r="A64" s="110"/>
      <c r="B64" s="111"/>
      <c r="C64" s="111"/>
      <c r="D64" s="111"/>
      <c r="E64" s="250">
        <f t="shared" si="5"/>
        <v>0</v>
      </c>
    </row>
    <row r="65" spans="1:5" ht="13.5" thickBot="1" x14ac:dyDescent="0.25">
      <c r="A65" s="251" t="s">
        <v>140</v>
      </c>
      <c r="B65" s="252">
        <f>B58+SUM(B60:B64)</f>
        <v>49995</v>
      </c>
      <c r="C65" s="252">
        <f>C58+SUM(C60:C64)</f>
        <v>0</v>
      </c>
      <c r="D65" s="252">
        <f>D58+SUM(D60:D64)</f>
        <v>0</v>
      </c>
      <c r="E65" s="253">
        <f>E58+SUM(E60:E64)</f>
        <v>49995</v>
      </c>
    </row>
    <row r="66" spans="1:5" ht="13.5" thickBot="1" x14ac:dyDescent="0.25">
      <c r="A66" s="56"/>
      <c r="B66" s="56"/>
      <c r="C66" s="56"/>
      <c r="D66" s="56"/>
      <c r="E66" s="56"/>
    </row>
    <row r="67" spans="1:5" ht="13.5" thickBot="1" x14ac:dyDescent="0.25">
      <c r="A67" s="242" t="s">
        <v>139</v>
      </c>
      <c r="B67" s="243" t="str">
        <f>+B57</f>
        <v>2017.</v>
      </c>
      <c r="C67" s="243" t="str">
        <f>+C57</f>
        <v>2018.</v>
      </c>
      <c r="D67" s="243" t="str">
        <f>+D57</f>
        <v>2018. után</v>
      </c>
      <c r="E67" s="244" t="s">
        <v>51</v>
      </c>
    </row>
    <row r="68" spans="1:5" x14ac:dyDescent="0.2">
      <c r="A68" s="245" t="s">
        <v>143</v>
      </c>
      <c r="B68" s="107"/>
      <c r="C68" s="107"/>
      <c r="D68" s="107"/>
      <c r="E68" s="246">
        <f t="shared" ref="E68:E74" si="6">SUM(B68:D68)</f>
        <v>0</v>
      </c>
    </row>
    <row r="69" spans="1:5" x14ac:dyDescent="0.2">
      <c r="A69" s="254" t="s">
        <v>144</v>
      </c>
      <c r="B69" s="109">
        <v>48237</v>
      </c>
      <c r="C69" s="109"/>
      <c r="D69" s="109"/>
      <c r="E69" s="250">
        <f t="shared" si="6"/>
        <v>48237</v>
      </c>
    </row>
    <row r="70" spans="1:5" x14ac:dyDescent="0.2">
      <c r="A70" s="249" t="s">
        <v>145</v>
      </c>
      <c r="B70" s="109">
        <v>1758</v>
      </c>
      <c r="C70" s="109"/>
      <c r="D70" s="109"/>
      <c r="E70" s="250">
        <f t="shared" si="6"/>
        <v>1758</v>
      </c>
    </row>
    <row r="71" spans="1:5" x14ac:dyDescent="0.2">
      <c r="A71" s="249" t="s">
        <v>146</v>
      </c>
      <c r="B71" s="109"/>
      <c r="C71" s="109"/>
      <c r="D71" s="109"/>
      <c r="E71" s="250">
        <f t="shared" si="6"/>
        <v>0</v>
      </c>
    </row>
    <row r="72" spans="1:5" x14ac:dyDescent="0.2">
      <c r="A72" s="112"/>
      <c r="B72" s="109"/>
      <c r="C72" s="109"/>
      <c r="D72" s="109"/>
      <c r="E72" s="250">
        <f t="shared" si="6"/>
        <v>0</v>
      </c>
    </row>
    <row r="73" spans="1:5" x14ac:dyDescent="0.2">
      <c r="A73" s="112"/>
      <c r="B73" s="109"/>
      <c r="C73" s="109"/>
      <c r="D73" s="109"/>
      <c r="E73" s="250">
        <f t="shared" si="6"/>
        <v>0</v>
      </c>
    </row>
    <row r="74" spans="1:5" ht="13.5" thickBot="1" x14ac:dyDescent="0.25">
      <c r="A74" s="110"/>
      <c r="B74" s="111"/>
      <c r="C74" s="111"/>
      <c r="D74" s="111"/>
      <c r="E74" s="250">
        <f t="shared" si="6"/>
        <v>0</v>
      </c>
    </row>
    <row r="75" spans="1:5" ht="13.5" thickBot="1" x14ac:dyDescent="0.25">
      <c r="A75" s="251" t="s">
        <v>53</v>
      </c>
      <c r="B75" s="252">
        <f>SUM(B68:B74)</f>
        <v>49995</v>
      </c>
      <c r="C75" s="252">
        <f>SUM(C68:C74)</f>
        <v>0</v>
      </c>
      <c r="D75" s="252">
        <f>SUM(D68:D74)</f>
        <v>0</v>
      </c>
      <c r="E75" s="253">
        <f>SUM(E68:E74)</f>
        <v>49995</v>
      </c>
    </row>
    <row r="79" spans="1:5" ht="28.5" customHeight="1" x14ac:dyDescent="0.25">
      <c r="A79" s="241" t="s">
        <v>141</v>
      </c>
      <c r="B79" s="693" t="s">
        <v>742</v>
      </c>
      <c r="C79" s="693"/>
      <c r="D79" s="693"/>
      <c r="E79" s="693"/>
    </row>
    <row r="80" spans="1:5" ht="14.25" thickBot="1" x14ac:dyDescent="0.3">
      <c r="A80" s="240"/>
      <c r="B80" s="240"/>
      <c r="C80" s="240"/>
      <c r="D80" s="694" t="s">
        <v>134</v>
      </c>
      <c r="E80" s="694"/>
    </row>
    <row r="81" spans="1:5" ht="13.5" thickBot="1" x14ac:dyDescent="0.25">
      <c r="A81" s="242" t="s">
        <v>133</v>
      </c>
      <c r="B81" s="243" t="str">
        <f>+B4</f>
        <v>2017.</v>
      </c>
      <c r="C81" s="243" t="str">
        <f t="shared" ref="C81:D81" si="7">+C4</f>
        <v>2018.</v>
      </c>
      <c r="D81" s="243" t="str">
        <f t="shared" si="7"/>
        <v>2018. után</v>
      </c>
      <c r="E81" s="244" t="s">
        <v>51</v>
      </c>
    </row>
    <row r="82" spans="1:5" x14ac:dyDescent="0.2">
      <c r="A82" s="245" t="s">
        <v>135</v>
      </c>
      <c r="B82" s="107"/>
      <c r="C82" s="107"/>
      <c r="D82" s="107"/>
      <c r="E82" s="246">
        <f t="shared" ref="E82:E88" si="8">SUM(B82:D82)</f>
        <v>0</v>
      </c>
    </row>
    <row r="83" spans="1:5" x14ac:dyDescent="0.2">
      <c r="A83" s="247" t="s">
        <v>147</v>
      </c>
      <c r="B83" s="108"/>
      <c r="C83" s="108"/>
      <c r="D83" s="108"/>
      <c r="E83" s="248">
        <f t="shared" si="8"/>
        <v>0</v>
      </c>
    </row>
    <row r="84" spans="1:5" x14ac:dyDescent="0.2">
      <c r="A84" s="249" t="s">
        <v>136</v>
      </c>
      <c r="B84" s="109">
        <v>7000</v>
      </c>
      <c r="C84" s="109"/>
      <c r="D84" s="109"/>
      <c r="E84" s="250">
        <f t="shared" si="8"/>
        <v>7000</v>
      </c>
    </row>
    <row r="85" spans="1:5" x14ac:dyDescent="0.2">
      <c r="A85" s="249" t="s">
        <v>148</v>
      </c>
      <c r="B85" s="109"/>
      <c r="C85" s="109"/>
      <c r="D85" s="109"/>
      <c r="E85" s="250">
        <f t="shared" si="8"/>
        <v>0</v>
      </c>
    </row>
    <row r="86" spans="1:5" x14ac:dyDescent="0.2">
      <c r="A86" s="249" t="s">
        <v>137</v>
      </c>
      <c r="B86" s="109"/>
      <c r="C86" s="109"/>
      <c r="D86" s="109"/>
      <c r="E86" s="250">
        <f t="shared" si="8"/>
        <v>0</v>
      </c>
    </row>
    <row r="87" spans="1:5" x14ac:dyDescent="0.2">
      <c r="A87" s="249" t="s">
        <v>138</v>
      </c>
      <c r="B87" s="109"/>
      <c r="C87" s="109"/>
      <c r="D87" s="109"/>
      <c r="E87" s="250">
        <f t="shared" si="8"/>
        <v>0</v>
      </c>
    </row>
    <row r="88" spans="1:5" ht="13.5" thickBot="1" x14ac:dyDescent="0.25">
      <c r="A88" s="110"/>
      <c r="B88" s="111"/>
      <c r="C88" s="111"/>
      <c r="D88" s="111"/>
      <c r="E88" s="250">
        <f t="shared" si="8"/>
        <v>0</v>
      </c>
    </row>
    <row r="89" spans="1:5" ht="13.5" thickBot="1" x14ac:dyDescent="0.25">
      <c r="A89" s="251" t="s">
        <v>140</v>
      </c>
      <c r="B89" s="252">
        <f>B82+SUM(B84:B88)</f>
        <v>7000</v>
      </c>
      <c r="C89" s="252">
        <f>C82+SUM(C84:C88)</f>
        <v>0</v>
      </c>
      <c r="D89" s="252">
        <f>D82+SUM(D84:D88)</f>
        <v>0</v>
      </c>
      <c r="E89" s="253">
        <f>E82+SUM(E84:E88)</f>
        <v>7000</v>
      </c>
    </row>
    <row r="90" spans="1:5" ht="13.5" thickBot="1" x14ac:dyDescent="0.25">
      <c r="A90" s="56"/>
      <c r="B90" s="56"/>
      <c r="C90" s="56"/>
      <c r="D90" s="56"/>
      <c r="E90" s="56"/>
    </row>
    <row r="91" spans="1:5" ht="13.5" thickBot="1" x14ac:dyDescent="0.25">
      <c r="A91" s="242" t="s">
        <v>139</v>
      </c>
      <c r="B91" s="243" t="str">
        <f>+B81</f>
        <v>2017.</v>
      </c>
      <c r="C91" s="243" t="str">
        <f>+C81</f>
        <v>2018.</v>
      </c>
      <c r="D91" s="243" t="str">
        <f>+D81</f>
        <v>2018. után</v>
      </c>
      <c r="E91" s="244" t="s">
        <v>51</v>
      </c>
    </row>
    <row r="92" spans="1:5" x14ac:dyDescent="0.2">
      <c r="A92" s="245" t="s">
        <v>143</v>
      </c>
      <c r="B92" s="107">
        <v>175</v>
      </c>
      <c r="C92" s="107"/>
      <c r="D92" s="107"/>
      <c r="E92" s="246">
        <f t="shared" ref="E92:E98" si="9">SUM(B92:D92)</f>
        <v>175</v>
      </c>
    </row>
    <row r="93" spans="1:5" x14ac:dyDescent="0.2">
      <c r="A93" s="254" t="s">
        <v>144</v>
      </c>
      <c r="B93" s="109">
        <v>3150</v>
      </c>
      <c r="C93" s="109"/>
      <c r="D93" s="109"/>
      <c r="E93" s="250">
        <f t="shared" si="9"/>
        <v>3150</v>
      </c>
    </row>
    <row r="94" spans="1:5" x14ac:dyDescent="0.2">
      <c r="A94" s="249" t="s">
        <v>145</v>
      </c>
      <c r="B94" s="109">
        <v>3675</v>
      </c>
      <c r="C94" s="109"/>
      <c r="D94" s="109"/>
      <c r="E94" s="250">
        <f t="shared" si="9"/>
        <v>3675</v>
      </c>
    </row>
    <row r="95" spans="1:5" x14ac:dyDescent="0.2">
      <c r="A95" s="249" t="s">
        <v>146</v>
      </c>
      <c r="B95" s="109"/>
      <c r="C95" s="109"/>
      <c r="D95" s="109"/>
      <c r="E95" s="250">
        <f t="shared" si="9"/>
        <v>0</v>
      </c>
    </row>
    <row r="96" spans="1:5" x14ac:dyDescent="0.2">
      <c r="A96" s="112"/>
      <c r="B96" s="109"/>
      <c r="C96" s="109"/>
      <c r="D96" s="109"/>
      <c r="E96" s="250">
        <f t="shared" si="9"/>
        <v>0</v>
      </c>
    </row>
    <row r="97" spans="1:5" x14ac:dyDescent="0.2">
      <c r="A97" s="112"/>
      <c r="B97" s="109"/>
      <c r="C97" s="109"/>
      <c r="D97" s="109"/>
      <c r="E97" s="250">
        <f t="shared" si="9"/>
        <v>0</v>
      </c>
    </row>
    <row r="98" spans="1:5" ht="13.5" thickBot="1" x14ac:dyDescent="0.25">
      <c r="A98" s="110"/>
      <c r="B98" s="111"/>
      <c r="C98" s="111"/>
      <c r="D98" s="111"/>
      <c r="E98" s="250">
        <f t="shared" si="9"/>
        <v>0</v>
      </c>
    </row>
    <row r="99" spans="1:5" ht="13.5" thickBot="1" x14ac:dyDescent="0.25">
      <c r="A99" s="251" t="s">
        <v>53</v>
      </c>
      <c r="B99" s="252">
        <f>SUM(B92:B98)</f>
        <v>7000</v>
      </c>
      <c r="C99" s="252">
        <f>SUM(C92:C98)</f>
        <v>0</v>
      </c>
      <c r="D99" s="252">
        <f>SUM(D92:D98)</f>
        <v>0</v>
      </c>
      <c r="E99" s="253">
        <f>SUM(E92:E98)</f>
        <v>7000</v>
      </c>
    </row>
    <row r="106" spans="1:5" ht="30.75" customHeight="1" x14ac:dyDescent="0.25">
      <c r="A106" s="241" t="s">
        <v>141</v>
      </c>
      <c r="B106" s="693" t="s">
        <v>743</v>
      </c>
      <c r="C106" s="693"/>
      <c r="D106" s="693"/>
      <c r="E106" s="693"/>
    </row>
    <row r="107" spans="1:5" ht="14.25" thickBot="1" x14ac:dyDescent="0.3">
      <c r="A107" s="240"/>
      <c r="B107" s="240"/>
      <c r="C107" s="240"/>
      <c r="D107" s="694" t="s">
        <v>134</v>
      </c>
      <c r="E107" s="694"/>
    </row>
    <row r="108" spans="1:5" ht="13.5" thickBot="1" x14ac:dyDescent="0.25">
      <c r="A108" s="242" t="s">
        <v>133</v>
      </c>
      <c r="B108" s="243" t="str">
        <f>+B4</f>
        <v>2017.</v>
      </c>
      <c r="C108" s="243" t="str">
        <f t="shared" ref="C108:D108" si="10">+C4</f>
        <v>2018.</v>
      </c>
      <c r="D108" s="243" t="str">
        <f t="shared" si="10"/>
        <v>2018. után</v>
      </c>
      <c r="E108" s="244" t="s">
        <v>51</v>
      </c>
    </row>
    <row r="109" spans="1:5" x14ac:dyDescent="0.2">
      <c r="A109" s="245" t="s">
        <v>135</v>
      </c>
      <c r="B109" s="107"/>
      <c r="C109" s="107"/>
      <c r="D109" s="107"/>
      <c r="E109" s="246">
        <f t="shared" ref="E109:E115" si="11">SUM(B109:D109)</f>
        <v>0</v>
      </c>
    </row>
    <row r="110" spans="1:5" x14ac:dyDescent="0.2">
      <c r="A110" s="247" t="s">
        <v>147</v>
      </c>
      <c r="B110" s="108"/>
      <c r="C110" s="108"/>
      <c r="D110" s="108"/>
      <c r="E110" s="248">
        <f t="shared" si="11"/>
        <v>0</v>
      </c>
    </row>
    <row r="111" spans="1:5" x14ac:dyDescent="0.2">
      <c r="A111" s="249" t="s">
        <v>136</v>
      </c>
      <c r="B111" s="109">
        <v>174555</v>
      </c>
      <c r="C111" s="109"/>
      <c r="D111" s="109"/>
      <c r="E111" s="250">
        <f t="shared" si="11"/>
        <v>174555</v>
      </c>
    </row>
    <row r="112" spans="1:5" x14ac:dyDescent="0.2">
      <c r="A112" s="249" t="s">
        <v>148</v>
      </c>
      <c r="B112" s="109"/>
      <c r="C112" s="109"/>
      <c r="D112" s="109"/>
      <c r="E112" s="250">
        <f t="shared" si="11"/>
        <v>0</v>
      </c>
    </row>
    <row r="113" spans="1:5" x14ac:dyDescent="0.2">
      <c r="A113" s="249" t="s">
        <v>137</v>
      </c>
      <c r="B113" s="109"/>
      <c r="C113" s="109"/>
      <c r="D113" s="109"/>
      <c r="E113" s="250">
        <f t="shared" si="11"/>
        <v>0</v>
      </c>
    </row>
    <row r="114" spans="1:5" x14ac:dyDescent="0.2">
      <c r="A114" s="249" t="s">
        <v>138</v>
      </c>
      <c r="B114" s="109"/>
      <c r="C114" s="109"/>
      <c r="D114" s="109"/>
      <c r="E114" s="250">
        <f t="shared" si="11"/>
        <v>0</v>
      </c>
    </row>
    <row r="115" spans="1:5" ht="13.5" thickBot="1" x14ac:dyDescent="0.25">
      <c r="A115" s="110"/>
      <c r="B115" s="111"/>
      <c r="C115" s="111"/>
      <c r="D115" s="111"/>
      <c r="E115" s="250">
        <f t="shared" si="11"/>
        <v>0</v>
      </c>
    </row>
    <row r="116" spans="1:5" ht="13.5" thickBot="1" x14ac:dyDescent="0.25">
      <c r="A116" s="251" t="s">
        <v>140</v>
      </c>
      <c r="B116" s="252">
        <f>B109+SUM(B111:B115)</f>
        <v>174555</v>
      </c>
      <c r="C116" s="252">
        <f>C109+SUM(C111:C115)</f>
        <v>0</v>
      </c>
      <c r="D116" s="252">
        <f>D109+SUM(D111:D115)</f>
        <v>0</v>
      </c>
      <c r="E116" s="253">
        <f>E109+SUM(E111:E115)</f>
        <v>174555</v>
      </c>
    </row>
    <row r="117" spans="1:5" ht="13.5" thickBot="1" x14ac:dyDescent="0.25">
      <c r="A117" s="56"/>
      <c r="B117" s="56"/>
      <c r="C117" s="56"/>
      <c r="D117" s="56"/>
      <c r="E117" s="56"/>
    </row>
    <row r="118" spans="1:5" ht="13.5" thickBot="1" x14ac:dyDescent="0.25">
      <c r="A118" s="242" t="s">
        <v>139</v>
      </c>
      <c r="B118" s="243" t="str">
        <f>+B108</f>
        <v>2017.</v>
      </c>
      <c r="C118" s="243" t="str">
        <f>+C108</f>
        <v>2018.</v>
      </c>
      <c r="D118" s="243" t="str">
        <f>+D108</f>
        <v>2018. után</v>
      </c>
      <c r="E118" s="244" t="s">
        <v>51</v>
      </c>
    </row>
    <row r="119" spans="1:5" x14ac:dyDescent="0.2">
      <c r="A119" s="245" t="s">
        <v>143</v>
      </c>
      <c r="B119" s="107"/>
      <c r="C119" s="107"/>
      <c r="D119" s="107"/>
      <c r="E119" s="246">
        <f t="shared" ref="E119:E125" si="12">SUM(B119:D119)</f>
        <v>0</v>
      </c>
    </row>
    <row r="120" spans="1:5" x14ac:dyDescent="0.2">
      <c r="A120" s="254" t="s">
        <v>144</v>
      </c>
      <c r="B120" s="109">
        <v>153610</v>
      </c>
      <c r="C120" s="109"/>
      <c r="D120" s="109"/>
      <c r="E120" s="250">
        <f t="shared" si="12"/>
        <v>153610</v>
      </c>
    </row>
    <row r="121" spans="1:5" x14ac:dyDescent="0.2">
      <c r="A121" s="249" t="s">
        <v>145</v>
      </c>
      <c r="B121" s="109">
        <v>20945</v>
      </c>
      <c r="C121" s="109"/>
      <c r="D121" s="109"/>
      <c r="E121" s="250">
        <f t="shared" si="12"/>
        <v>20945</v>
      </c>
    </row>
    <row r="122" spans="1:5" x14ac:dyDescent="0.2">
      <c r="A122" s="249" t="s">
        <v>146</v>
      </c>
      <c r="B122" s="109"/>
      <c r="C122" s="109"/>
      <c r="D122" s="109"/>
      <c r="E122" s="250">
        <f t="shared" si="12"/>
        <v>0</v>
      </c>
    </row>
    <row r="123" spans="1:5" x14ac:dyDescent="0.2">
      <c r="A123" s="112"/>
      <c r="B123" s="109"/>
      <c r="C123" s="109"/>
      <c r="D123" s="109"/>
      <c r="E123" s="250">
        <f t="shared" si="12"/>
        <v>0</v>
      </c>
    </row>
    <row r="124" spans="1:5" x14ac:dyDescent="0.2">
      <c r="A124" s="112"/>
      <c r="B124" s="109"/>
      <c r="C124" s="109"/>
      <c r="D124" s="109"/>
      <c r="E124" s="250">
        <f t="shared" si="12"/>
        <v>0</v>
      </c>
    </row>
    <row r="125" spans="1:5" ht="13.5" thickBot="1" x14ac:dyDescent="0.25">
      <c r="A125" s="110"/>
      <c r="B125" s="111"/>
      <c r="C125" s="111"/>
      <c r="D125" s="111"/>
      <c r="E125" s="250">
        <f t="shared" si="12"/>
        <v>0</v>
      </c>
    </row>
    <row r="126" spans="1:5" ht="13.5" thickBot="1" x14ac:dyDescent="0.25">
      <c r="A126" s="251" t="s">
        <v>53</v>
      </c>
      <c r="B126" s="252">
        <f>SUM(B119:B125)</f>
        <v>174555</v>
      </c>
      <c r="C126" s="252">
        <f>SUM(C119:C125)</f>
        <v>0</v>
      </c>
      <c r="D126" s="252">
        <f>SUM(D119:D125)</f>
        <v>0</v>
      </c>
      <c r="E126" s="253">
        <f>SUM(E119:E125)</f>
        <v>174555</v>
      </c>
    </row>
    <row r="130" spans="1:5" ht="38.25" customHeight="1" x14ac:dyDescent="0.25">
      <c r="A130" s="241" t="s">
        <v>141</v>
      </c>
      <c r="B130" s="693" t="s">
        <v>744</v>
      </c>
      <c r="C130" s="693"/>
      <c r="D130" s="693"/>
      <c r="E130" s="693"/>
    </row>
    <row r="131" spans="1:5" ht="14.25" thickBot="1" x14ac:dyDescent="0.3">
      <c r="A131" s="240"/>
      <c r="B131" s="240"/>
      <c r="C131" s="240"/>
      <c r="D131" s="694" t="s">
        <v>134</v>
      </c>
      <c r="E131" s="694"/>
    </row>
    <row r="132" spans="1:5" ht="13.5" thickBot="1" x14ac:dyDescent="0.25">
      <c r="A132" s="242" t="s">
        <v>133</v>
      </c>
      <c r="B132" s="243" t="str">
        <f>+B4</f>
        <v>2017.</v>
      </c>
      <c r="C132" s="243" t="str">
        <f t="shared" ref="C132:D132" si="13">+C4</f>
        <v>2018.</v>
      </c>
      <c r="D132" s="243" t="str">
        <f t="shared" si="13"/>
        <v>2018. után</v>
      </c>
      <c r="E132" s="244" t="s">
        <v>51</v>
      </c>
    </row>
    <row r="133" spans="1:5" x14ac:dyDescent="0.2">
      <c r="A133" s="245" t="s">
        <v>135</v>
      </c>
      <c r="B133" s="107"/>
      <c r="C133" s="107"/>
      <c r="D133" s="107"/>
      <c r="E133" s="246">
        <f t="shared" ref="E133:E139" si="14">SUM(B133:D133)</f>
        <v>0</v>
      </c>
    </row>
    <row r="134" spans="1:5" x14ac:dyDescent="0.2">
      <c r="A134" s="247" t="s">
        <v>147</v>
      </c>
      <c r="B134" s="108"/>
      <c r="C134" s="108"/>
      <c r="D134" s="108"/>
      <c r="E134" s="248">
        <f t="shared" si="14"/>
        <v>0</v>
      </c>
    </row>
    <row r="135" spans="1:5" x14ac:dyDescent="0.2">
      <c r="A135" s="249" t="s">
        <v>136</v>
      </c>
      <c r="B135" s="109">
        <v>36878</v>
      </c>
      <c r="C135" s="109"/>
      <c r="D135" s="109"/>
      <c r="E135" s="250">
        <f t="shared" si="14"/>
        <v>36878</v>
      </c>
    </row>
    <row r="136" spans="1:5" x14ac:dyDescent="0.2">
      <c r="A136" s="249" t="s">
        <v>148</v>
      </c>
      <c r="B136" s="109"/>
      <c r="C136" s="109"/>
      <c r="D136" s="109"/>
      <c r="E136" s="250">
        <f t="shared" si="14"/>
        <v>0</v>
      </c>
    </row>
    <row r="137" spans="1:5" x14ac:dyDescent="0.2">
      <c r="A137" s="249" t="s">
        <v>137</v>
      </c>
      <c r="B137" s="109"/>
      <c r="C137" s="109"/>
      <c r="D137" s="109"/>
      <c r="E137" s="250">
        <f t="shared" si="14"/>
        <v>0</v>
      </c>
    </row>
    <row r="138" spans="1:5" x14ac:dyDescent="0.2">
      <c r="A138" s="249" t="s">
        <v>138</v>
      </c>
      <c r="B138" s="109"/>
      <c r="C138" s="109"/>
      <c r="D138" s="109"/>
      <c r="E138" s="250">
        <f t="shared" si="14"/>
        <v>0</v>
      </c>
    </row>
    <row r="139" spans="1:5" ht="13.5" thickBot="1" x14ac:dyDescent="0.25">
      <c r="A139" s="110"/>
      <c r="B139" s="111"/>
      <c r="C139" s="111"/>
      <c r="D139" s="111"/>
      <c r="E139" s="250">
        <f t="shared" si="14"/>
        <v>0</v>
      </c>
    </row>
    <row r="140" spans="1:5" ht="13.5" thickBot="1" x14ac:dyDescent="0.25">
      <c r="A140" s="251" t="s">
        <v>140</v>
      </c>
      <c r="B140" s="252">
        <f>B133+SUM(B135:B139)</f>
        <v>36878</v>
      </c>
      <c r="C140" s="252">
        <f>C133+SUM(C135:C139)</f>
        <v>0</v>
      </c>
      <c r="D140" s="252">
        <f>D133+SUM(D135:D139)</f>
        <v>0</v>
      </c>
      <c r="E140" s="253">
        <f>E133+SUM(E135:E139)</f>
        <v>36878</v>
      </c>
    </row>
    <row r="141" spans="1:5" ht="13.5" thickBot="1" x14ac:dyDescent="0.25">
      <c r="A141" s="56"/>
      <c r="B141" s="56"/>
      <c r="C141" s="56"/>
      <c r="D141" s="56"/>
      <c r="E141" s="56"/>
    </row>
    <row r="142" spans="1:5" ht="13.5" thickBot="1" x14ac:dyDescent="0.25">
      <c r="A142" s="242" t="s">
        <v>139</v>
      </c>
      <c r="B142" s="243" t="str">
        <f>+B132</f>
        <v>2017.</v>
      </c>
      <c r="C142" s="243" t="str">
        <f>+C132</f>
        <v>2018.</v>
      </c>
      <c r="D142" s="243" t="str">
        <f>+D132</f>
        <v>2018. után</v>
      </c>
      <c r="E142" s="244" t="s">
        <v>51</v>
      </c>
    </row>
    <row r="143" spans="1:5" x14ac:dyDescent="0.2">
      <c r="A143" s="245" t="s">
        <v>143</v>
      </c>
      <c r="B143" s="107"/>
      <c r="C143" s="107"/>
      <c r="D143" s="107"/>
      <c r="E143" s="246">
        <f t="shared" ref="E143:E149" si="15">SUM(B143:D143)</f>
        <v>0</v>
      </c>
    </row>
    <row r="144" spans="1:5" x14ac:dyDescent="0.2">
      <c r="A144" s="254" t="s">
        <v>144</v>
      </c>
      <c r="B144" s="109">
        <v>29583</v>
      </c>
      <c r="C144" s="109"/>
      <c r="D144" s="109"/>
      <c r="E144" s="250">
        <f t="shared" si="15"/>
        <v>29583</v>
      </c>
    </row>
    <row r="145" spans="1:5" x14ac:dyDescent="0.2">
      <c r="A145" s="249" t="s">
        <v>145</v>
      </c>
      <c r="B145" s="109">
        <v>7295</v>
      </c>
      <c r="C145" s="109"/>
      <c r="D145" s="109"/>
      <c r="E145" s="250">
        <f t="shared" si="15"/>
        <v>7295</v>
      </c>
    </row>
    <row r="146" spans="1:5" x14ac:dyDescent="0.2">
      <c r="A146" s="249" t="s">
        <v>146</v>
      </c>
      <c r="B146" s="109"/>
      <c r="C146" s="109"/>
      <c r="D146" s="109"/>
      <c r="E146" s="250">
        <f t="shared" si="15"/>
        <v>0</v>
      </c>
    </row>
    <row r="147" spans="1:5" x14ac:dyDescent="0.2">
      <c r="A147" s="112"/>
      <c r="B147" s="109"/>
      <c r="C147" s="109"/>
      <c r="D147" s="109"/>
      <c r="E147" s="250">
        <f t="shared" si="15"/>
        <v>0</v>
      </c>
    </row>
    <row r="148" spans="1:5" x14ac:dyDescent="0.2">
      <c r="A148" s="112"/>
      <c r="B148" s="109"/>
      <c r="C148" s="109"/>
      <c r="D148" s="109"/>
      <c r="E148" s="250">
        <f t="shared" si="15"/>
        <v>0</v>
      </c>
    </row>
    <row r="149" spans="1:5" ht="13.5" thickBot="1" x14ac:dyDescent="0.25">
      <c r="A149" s="110"/>
      <c r="B149" s="111"/>
      <c r="C149" s="111"/>
      <c r="D149" s="111"/>
      <c r="E149" s="250">
        <f t="shared" si="15"/>
        <v>0</v>
      </c>
    </row>
    <row r="150" spans="1:5" ht="13.5" thickBot="1" x14ac:dyDescent="0.25">
      <c r="A150" s="251" t="s">
        <v>53</v>
      </c>
      <c r="B150" s="252">
        <f>SUM(B143:B149)</f>
        <v>36878</v>
      </c>
      <c r="C150" s="252">
        <f>SUM(C143:C149)</f>
        <v>0</v>
      </c>
      <c r="D150" s="252">
        <f>SUM(D143:D149)</f>
        <v>0</v>
      </c>
      <c r="E150" s="253">
        <f>SUM(E143:E149)</f>
        <v>36878</v>
      </c>
    </row>
    <row r="157" spans="1:5" ht="36" customHeight="1" x14ac:dyDescent="0.25">
      <c r="A157" s="241" t="s">
        <v>141</v>
      </c>
      <c r="B157" s="693" t="s">
        <v>745</v>
      </c>
      <c r="C157" s="693"/>
      <c r="D157" s="693"/>
      <c r="E157" s="693"/>
    </row>
    <row r="158" spans="1:5" ht="14.25" thickBot="1" x14ac:dyDescent="0.3">
      <c r="A158" s="240"/>
      <c r="B158" s="240"/>
      <c r="C158" s="240"/>
      <c r="D158" s="694" t="s">
        <v>134</v>
      </c>
      <c r="E158" s="694"/>
    </row>
    <row r="159" spans="1:5" ht="13.5" thickBot="1" x14ac:dyDescent="0.25">
      <c r="A159" s="242" t="s">
        <v>133</v>
      </c>
      <c r="B159" s="243" t="str">
        <f>+B4</f>
        <v>2017.</v>
      </c>
      <c r="C159" s="243" t="str">
        <f t="shared" ref="C159:D159" si="16">+C4</f>
        <v>2018.</v>
      </c>
      <c r="D159" s="243" t="str">
        <f t="shared" si="16"/>
        <v>2018. után</v>
      </c>
      <c r="E159" s="244" t="s">
        <v>51</v>
      </c>
    </row>
    <row r="160" spans="1:5" x14ac:dyDescent="0.2">
      <c r="A160" s="245" t="s">
        <v>135</v>
      </c>
      <c r="B160" s="107"/>
      <c r="C160" s="107"/>
      <c r="D160" s="107"/>
      <c r="E160" s="246">
        <f t="shared" ref="E160:E166" si="17">SUM(B160:D160)</f>
        <v>0</v>
      </c>
    </row>
    <row r="161" spans="1:5" x14ac:dyDescent="0.2">
      <c r="A161" s="247" t="s">
        <v>147</v>
      </c>
      <c r="B161" s="108"/>
      <c r="C161" s="108"/>
      <c r="D161" s="108"/>
      <c r="E161" s="248">
        <f t="shared" si="17"/>
        <v>0</v>
      </c>
    </row>
    <row r="162" spans="1:5" x14ac:dyDescent="0.2">
      <c r="A162" s="249" t="s">
        <v>136</v>
      </c>
      <c r="B162" s="109">
        <v>66196</v>
      </c>
      <c r="C162" s="109"/>
      <c r="D162" s="109"/>
      <c r="E162" s="250">
        <f t="shared" si="17"/>
        <v>66196</v>
      </c>
    </row>
    <row r="163" spans="1:5" x14ac:dyDescent="0.2">
      <c r="A163" s="249" t="s">
        <v>148</v>
      </c>
      <c r="B163" s="109"/>
      <c r="C163" s="109"/>
      <c r="D163" s="109"/>
      <c r="E163" s="250">
        <f t="shared" si="17"/>
        <v>0</v>
      </c>
    </row>
    <row r="164" spans="1:5" x14ac:dyDescent="0.2">
      <c r="A164" s="249" t="s">
        <v>137</v>
      </c>
      <c r="B164" s="109"/>
      <c r="C164" s="109"/>
      <c r="D164" s="109"/>
      <c r="E164" s="250">
        <f t="shared" si="17"/>
        <v>0</v>
      </c>
    </row>
    <row r="165" spans="1:5" x14ac:dyDescent="0.2">
      <c r="A165" s="249" t="s">
        <v>138</v>
      </c>
      <c r="B165" s="109"/>
      <c r="C165" s="109"/>
      <c r="D165" s="109"/>
      <c r="E165" s="250">
        <f t="shared" si="17"/>
        <v>0</v>
      </c>
    </row>
    <row r="166" spans="1:5" ht="13.5" thickBot="1" x14ac:dyDescent="0.25">
      <c r="A166" s="110"/>
      <c r="B166" s="111"/>
      <c r="C166" s="111"/>
      <c r="D166" s="111"/>
      <c r="E166" s="250">
        <f t="shared" si="17"/>
        <v>0</v>
      </c>
    </row>
    <row r="167" spans="1:5" ht="13.5" thickBot="1" x14ac:dyDescent="0.25">
      <c r="A167" s="251" t="s">
        <v>140</v>
      </c>
      <c r="B167" s="252">
        <f>B160+SUM(B162:B166)</f>
        <v>66196</v>
      </c>
      <c r="C167" s="252">
        <f>C160+SUM(C162:C166)</f>
        <v>0</v>
      </c>
      <c r="D167" s="252">
        <f>D160+SUM(D162:D166)</f>
        <v>0</v>
      </c>
      <c r="E167" s="253">
        <f>E160+SUM(E162:E166)</f>
        <v>66196</v>
      </c>
    </row>
    <row r="168" spans="1:5" ht="13.5" thickBot="1" x14ac:dyDescent="0.25">
      <c r="A168" s="56"/>
      <c r="B168" s="56"/>
      <c r="C168" s="56"/>
      <c r="D168" s="56"/>
      <c r="E168" s="56"/>
    </row>
    <row r="169" spans="1:5" ht="13.5" thickBot="1" x14ac:dyDescent="0.25">
      <c r="A169" s="242" t="s">
        <v>139</v>
      </c>
      <c r="B169" s="243" t="str">
        <f>+B159</f>
        <v>2017.</v>
      </c>
      <c r="C169" s="243" t="str">
        <f>+C159</f>
        <v>2018.</v>
      </c>
      <c r="D169" s="243" t="str">
        <f>+D159</f>
        <v>2018. után</v>
      </c>
      <c r="E169" s="244" t="s">
        <v>51</v>
      </c>
    </row>
    <row r="170" spans="1:5" x14ac:dyDescent="0.2">
      <c r="A170" s="245" t="s">
        <v>143</v>
      </c>
      <c r="B170" s="107">
        <v>29974</v>
      </c>
      <c r="C170" s="107"/>
      <c r="D170" s="107"/>
      <c r="E170" s="246">
        <f t="shared" ref="E170:E176" si="18">SUM(B170:D170)</f>
        <v>29974</v>
      </c>
    </row>
    <row r="171" spans="1:5" x14ac:dyDescent="0.2">
      <c r="A171" s="254" t="s">
        <v>144</v>
      </c>
      <c r="B171" s="109">
        <v>36222</v>
      </c>
      <c r="C171" s="109"/>
      <c r="D171" s="109"/>
      <c r="E171" s="250">
        <f t="shared" si="18"/>
        <v>36222</v>
      </c>
    </row>
    <row r="172" spans="1:5" x14ac:dyDescent="0.2">
      <c r="A172" s="249" t="s">
        <v>145</v>
      </c>
      <c r="B172" s="109"/>
      <c r="C172" s="109"/>
      <c r="D172" s="109"/>
      <c r="E172" s="250">
        <f t="shared" si="18"/>
        <v>0</v>
      </c>
    </row>
    <row r="173" spans="1:5" x14ac:dyDescent="0.2">
      <c r="A173" s="249" t="s">
        <v>146</v>
      </c>
      <c r="B173" s="109"/>
      <c r="C173" s="109"/>
      <c r="D173" s="109"/>
      <c r="E173" s="250">
        <f t="shared" si="18"/>
        <v>0</v>
      </c>
    </row>
    <row r="174" spans="1:5" x14ac:dyDescent="0.2">
      <c r="A174" s="112"/>
      <c r="B174" s="109"/>
      <c r="C174" s="109"/>
      <c r="D174" s="109"/>
      <c r="E174" s="250">
        <f t="shared" si="18"/>
        <v>0</v>
      </c>
    </row>
    <row r="175" spans="1:5" x14ac:dyDescent="0.2">
      <c r="A175" s="112"/>
      <c r="B175" s="109"/>
      <c r="C175" s="109"/>
      <c r="D175" s="109"/>
      <c r="E175" s="250">
        <f t="shared" si="18"/>
        <v>0</v>
      </c>
    </row>
    <row r="176" spans="1:5" ht="13.5" thickBot="1" x14ac:dyDescent="0.25">
      <c r="A176" s="110"/>
      <c r="B176" s="111"/>
      <c r="C176" s="111"/>
      <c r="D176" s="111"/>
      <c r="E176" s="250">
        <f t="shared" si="18"/>
        <v>0</v>
      </c>
    </row>
    <row r="177" spans="1:5" ht="13.5" thickBot="1" x14ac:dyDescent="0.25">
      <c r="A177" s="251" t="s">
        <v>53</v>
      </c>
      <c r="B177" s="252">
        <f>SUM(B170:B176)</f>
        <v>66196</v>
      </c>
      <c r="C177" s="252">
        <f>SUM(C170:C176)</f>
        <v>0</v>
      </c>
      <c r="D177" s="252">
        <f>SUM(D170:D176)</f>
        <v>0</v>
      </c>
      <c r="E177" s="253">
        <f>SUM(E170:E176)</f>
        <v>66196</v>
      </c>
    </row>
  </sheetData>
  <mergeCells count="14">
    <mergeCell ref="D107:E107"/>
    <mergeCell ref="B130:E130"/>
    <mergeCell ref="D131:E131"/>
    <mergeCell ref="B157:E157"/>
    <mergeCell ref="D158:E158"/>
    <mergeCell ref="B55:E55"/>
    <mergeCell ref="D56:E56"/>
    <mergeCell ref="B79:E79"/>
    <mergeCell ref="D80:E80"/>
    <mergeCell ref="B106:E106"/>
    <mergeCell ref="B2:E2"/>
    <mergeCell ref="B25:E25"/>
    <mergeCell ref="D3:E3"/>
    <mergeCell ref="D26:E26"/>
  </mergeCells>
  <phoneticPr fontId="30" type="noConversion"/>
  <conditionalFormatting sqref="E5:E12 B12:D12 B22:E22 E15:E21 E28:E35 B35:D35 E38:E45 B45:D45">
    <cfRule type="cellIs" dxfId="7" priority="6" stopIfTrue="1" operator="equal">
      <formula>0</formula>
    </cfRule>
  </conditionalFormatting>
  <conditionalFormatting sqref="E58:E65 B65:D65 E68:E75 B75:D75">
    <cfRule type="cellIs" dxfId="6" priority="5" stopIfTrue="1" operator="equal">
      <formula>0</formula>
    </cfRule>
  </conditionalFormatting>
  <conditionalFormatting sqref="E82:E89 B89:D89 E92:E99 B99:D99">
    <cfRule type="cellIs" dxfId="5" priority="4" stopIfTrue="1" operator="equal">
      <formula>0</formula>
    </cfRule>
  </conditionalFormatting>
  <conditionalFormatting sqref="E109:E116 B116:D116 E119:E126 B126:D126">
    <cfRule type="cellIs" dxfId="4" priority="3" stopIfTrue="1" operator="equal">
      <formula>0</formula>
    </cfRule>
  </conditionalFormatting>
  <conditionalFormatting sqref="E133:E140 B140:D140 E143:E150 B150:D150">
    <cfRule type="cellIs" dxfId="3" priority="2" stopIfTrue="1" operator="equal">
      <formula>0</formula>
    </cfRule>
  </conditionalFormatting>
  <conditionalFormatting sqref="E160:E167 B167:D167 E170:E177 B177:D177">
    <cfRule type="cellIs" dxfId="0" priority="1" stopIfTrue="1" operator="equal">
      <formula>0</formula>
    </cfRule>
  </conditionalFormatting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&amp;C&amp;"Times New Roman CE,Félkövér"&amp;12
Európai uniós támogatással megvalósuló projektek 
bevételei, kiadásai, hozzájárulások&amp;R&amp;"Times New Roman CE,Félkövér dőlt"&amp;11 8. melléklet a 6/2017. (III. 13.) önkormányzati rendelethez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>
    <tabColor rgb="FF92D050"/>
  </sheetPr>
  <dimension ref="A1:K159"/>
  <sheetViews>
    <sheetView zoomScale="130" zoomScaleNormal="130" zoomScaleSheetLayoutView="85" workbookViewId="0">
      <selection activeCell="C93" sqref="C93:C156"/>
    </sheetView>
  </sheetViews>
  <sheetFormatPr defaultRowHeight="12.75" x14ac:dyDescent="0.2"/>
  <cols>
    <col min="1" max="1" width="19.5" style="434" customWidth="1"/>
    <col min="2" max="2" width="72" style="435" customWidth="1"/>
    <col min="3" max="3" width="25" style="436" customWidth="1"/>
    <col min="4" max="4" width="9.33203125" style="3"/>
    <col min="5" max="5" width="15.1640625" style="3" bestFit="1" customWidth="1"/>
    <col min="6" max="16384" width="9.33203125" style="3"/>
  </cols>
  <sheetData>
    <row r="1" spans="1:5" s="2" customFormat="1" ht="16.5" customHeight="1" thickBot="1" x14ac:dyDescent="0.25">
      <c r="A1" s="255"/>
      <c r="B1" s="257"/>
      <c r="C1" s="280" t="str">
        <f>+CONCATENATE("9.1. melléklet a 6/",LEFT(ÖSSZEFÜGGÉSEK!A5,4),". (III. 13.) önkormányzati rendelethez")</f>
        <v>9.1. melléklet a 6/2017. (III. 13.) önkormányzati rendelethez</v>
      </c>
    </row>
    <row r="2" spans="1:5" s="113" customFormat="1" ht="21" customHeight="1" x14ac:dyDescent="0.2">
      <c r="A2" s="451" t="s">
        <v>63</v>
      </c>
      <c r="B2" s="393" t="s">
        <v>570</v>
      </c>
      <c r="C2" s="395" t="s">
        <v>54</v>
      </c>
    </row>
    <row r="3" spans="1:5" s="113" customFormat="1" ht="16.5" thickBot="1" x14ac:dyDescent="0.25">
      <c r="A3" s="258" t="s">
        <v>201</v>
      </c>
      <c r="B3" s="394" t="s">
        <v>402</v>
      </c>
      <c r="C3" s="540"/>
    </row>
    <row r="4" spans="1:5" s="114" customFormat="1" ht="15.95" customHeight="1" thickBot="1" x14ac:dyDescent="0.3">
      <c r="A4" s="259"/>
      <c r="B4" s="259"/>
      <c r="C4" s="260" t="s">
        <v>578</v>
      </c>
    </row>
    <row r="5" spans="1:5" ht="13.5" thickBot="1" x14ac:dyDescent="0.25">
      <c r="A5" s="452" t="s">
        <v>203</v>
      </c>
      <c r="B5" s="261" t="s">
        <v>567</v>
      </c>
      <c r="C5" s="396" t="s">
        <v>56</v>
      </c>
    </row>
    <row r="6" spans="1:5" s="75" customFormat="1" ht="12.95" customHeight="1" thickBot="1" x14ac:dyDescent="0.25">
      <c r="A6" s="223"/>
      <c r="B6" s="224" t="s">
        <v>496</v>
      </c>
      <c r="C6" s="225" t="s">
        <v>497</v>
      </c>
    </row>
    <row r="7" spans="1:5" s="75" customFormat="1" ht="15.95" customHeight="1" thickBot="1" x14ac:dyDescent="0.25">
      <c r="A7" s="263"/>
      <c r="B7" s="264" t="s">
        <v>57</v>
      </c>
      <c r="C7" s="397"/>
    </row>
    <row r="8" spans="1:5" s="75" customFormat="1" ht="12" customHeight="1" thickBot="1" x14ac:dyDescent="0.25">
      <c r="A8" s="36" t="s">
        <v>18</v>
      </c>
      <c r="B8" s="21" t="s">
        <v>252</v>
      </c>
      <c r="C8" s="332">
        <f>+C9+C10+C11+C12+C13+C14</f>
        <v>518175431</v>
      </c>
    </row>
    <row r="9" spans="1:5" s="115" customFormat="1" ht="12" customHeight="1" x14ac:dyDescent="0.2">
      <c r="A9" s="480" t="s">
        <v>100</v>
      </c>
      <c r="B9" s="461" t="s">
        <v>253</v>
      </c>
      <c r="C9" s="335">
        <f>'9.1.1. sz. mell ÖNK'!C9+'9.1.2. sz. mell ÖNK'!C9+'9.1.3. sz. mell ÖNK'!C9</f>
        <v>198486000</v>
      </c>
    </row>
    <row r="10" spans="1:5" s="116" customFormat="1" ht="12" customHeight="1" x14ac:dyDescent="0.2">
      <c r="A10" s="481" t="s">
        <v>101</v>
      </c>
      <c r="B10" s="462" t="s">
        <v>254</v>
      </c>
      <c r="C10" s="335">
        <f>'9.1.1. sz. mell ÖNK'!C10+'9.1.2. sz. mell ÖNK'!C10+'9.1.3. sz. mell ÖNK'!C10</f>
        <v>102967135</v>
      </c>
      <c r="E10" s="587">
        <f>SUM(C9:C12)</f>
        <v>490670990</v>
      </c>
    </row>
    <row r="11" spans="1:5" s="116" customFormat="1" ht="12" customHeight="1" x14ac:dyDescent="0.2">
      <c r="A11" s="481" t="s">
        <v>102</v>
      </c>
      <c r="B11" s="462" t="s">
        <v>554</v>
      </c>
      <c r="C11" s="335">
        <f>'9.1.1. sz. mell ÖNK'!C11+'9.1.2. sz. mell ÖNK'!C11+'9.1.3. sz. mell ÖNK'!C11</f>
        <v>181251535</v>
      </c>
    </row>
    <row r="12" spans="1:5" s="116" customFormat="1" ht="12" customHeight="1" x14ac:dyDescent="0.2">
      <c r="A12" s="481" t="s">
        <v>103</v>
      </c>
      <c r="B12" s="462" t="s">
        <v>256</v>
      </c>
      <c r="C12" s="335">
        <f>'9.1.1. sz. mell ÖNK'!C12+'9.1.2. sz. mell ÖNK'!C12+'9.1.3. sz. mell ÖNK'!C12</f>
        <v>7966320</v>
      </c>
    </row>
    <row r="13" spans="1:5" s="116" customFormat="1" ht="12" customHeight="1" x14ac:dyDescent="0.2">
      <c r="A13" s="481" t="s">
        <v>149</v>
      </c>
      <c r="B13" s="462" t="s">
        <v>508</v>
      </c>
      <c r="C13" s="335">
        <f>'9.1.1. sz. mell ÖNK'!C13+'9.1.2. sz. mell ÖNK'!C13+'9.1.3. sz. mell ÖNK'!C13</f>
        <v>27504441</v>
      </c>
    </row>
    <row r="14" spans="1:5" s="115" customFormat="1" ht="12" customHeight="1" thickBot="1" x14ac:dyDescent="0.25">
      <c r="A14" s="482" t="s">
        <v>104</v>
      </c>
      <c r="B14" s="463" t="s">
        <v>437</v>
      </c>
      <c r="C14" s="335">
        <f>'9.1.1. sz. mell ÖNK'!C14+'9.1.2. sz. mell ÖNK'!C14+'9.1.3. sz. mell ÖNK'!C14</f>
        <v>0</v>
      </c>
    </row>
    <row r="15" spans="1:5" s="115" customFormat="1" ht="12" customHeight="1" thickBot="1" x14ac:dyDescent="0.25">
      <c r="A15" s="36" t="s">
        <v>19</v>
      </c>
      <c r="B15" s="327" t="s">
        <v>257</v>
      </c>
      <c r="C15" s="332">
        <f>+C16+C17+C18+C19+C20</f>
        <v>510771741</v>
      </c>
      <c r="E15" s="91">
        <f>+C8+C15</f>
        <v>1028947172</v>
      </c>
    </row>
    <row r="16" spans="1:5" s="115" customFormat="1" ht="12" customHeight="1" x14ac:dyDescent="0.2">
      <c r="A16" s="480" t="s">
        <v>106</v>
      </c>
      <c r="B16" s="461" t="s">
        <v>258</v>
      </c>
      <c r="C16" s="335">
        <f>'9.1.1. sz. mell ÖNK'!C16+'9.1.2. sz. mell ÖNK'!C16+'9.1.3. sz. mell ÖNK'!C16</f>
        <v>0</v>
      </c>
    </row>
    <row r="17" spans="1:3" s="115" customFormat="1" ht="12" customHeight="1" x14ac:dyDescent="0.2">
      <c r="A17" s="481" t="s">
        <v>107</v>
      </c>
      <c r="B17" s="462" t="s">
        <v>259</v>
      </c>
      <c r="C17" s="335">
        <f>'9.1.1. sz. mell ÖNK'!C17+'9.1.2. sz. mell ÖNK'!C17+'9.1.3. sz. mell ÖNK'!C17</f>
        <v>0</v>
      </c>
    </row>
    <row r="18" spans="1:3" s="115" customFormat="1" ht="12" customHeight="1" x14ac:dyDescent="0.2">
      <c r="A18" s="481" t="s">
        <v>108</v>
      </c>
      <c r="B18" s="462" t="s">
        <v>426</v>
      </c>
      <c r="C18" s="335">
        <f>'9.1.1. sz. mell ÖNK'!C18+'9.1.2. sz. mell ÖNK'!C18+'9.1.3. sz. mell ÖNK'!C18</f>
        <v>0</v>
      </c>
    </row>
    <row r="19" spans="1:3" s="115" customFormat="1" ht="12" customHeight="1" x14ac:dyDescent="0.2">
      <c r="A19" s="481" t="s">
        <v>109</v>
      </c>
      <c r="B19" s="462" t="s">
        <v>427</v>
      </c>
      <c r="C19" s="335">
        <f>'9.1.1. sz. mell ÖNK'!C19+'9.1.2. sz. mell ÖNK'!C19+'9.1.3. sz. mell ÖNK'!C19</f>
        <v>0</v>
      </c>
    </row>
    <row r="20" spans="1:3" s="115" customFormat="1" ht="12" customHeight="1" x14ac:dyDescent="0.2">
      <c r="A20" s="481" t="s">
        <v>110</v>
      </c>
      <c r="B20" s="462" t="s">
        <v>260</v>
      </c>
      <c r="C20" s="335">
        <f>'9.1.1. sz. mell ÖNK'!C20+'9.1.2. sz. mell ÖNK'!C20+'9.1.3. sz. mell ÖNK'!C20</f>
        <v>510771741</v>
      </c>
    </row>
    <row r="21" spans="1:3" s="116" customFormat="1" ht="12" customHeight="1" thickBot="1" x14ac:dyDescent="0.25">
      <c r="A21" s="482" t="s">
        <v>119</v>
      </c>
      <c r="B21" s="463" t="s">
        <v>261</v>
      </c>
      <c r="C21" s="335">
        <f>'9.1.1. sz. mell ÖNK'!C21+'9.1.2. sz. mell ÖNK'!C21+'9.1.3. sz. mell ÖNK'!C21</f>
        <v>46082295</v>
      </c>
    </row>
    <row r="22" spans="1:3" s="116" customFormat="1" ht="12" customHeight="1" thickBot="1" x14ac:dyDescent="0.25">
      <c r="A22" s="36" t="s">
        <v>20</v>
      </c>
      <c r="B22" s="21" t="s">
        <v>262</v>
      </c>
      <c r="C22" s="332">
        <f>+C23+C24+C25+C26+C27</f>
        <v>445842552</v>
      </c>
    </row>
    <row r="23" spans="1:3" s="116" customFormat="1" ht="12" customHeight="1" x14ac:dyDescent="0.2">
      <c r="A23" s="480" t="s">
        <v>89</v>
      </c>
      <c r="B23" s="461" t="s">
        <v>263</v>
      </c>
      <c r="C23" s="335">
        <f>'9.1.1. sz. mell ÖNK'!C23+'9.1.2. sz. mell ÖNK'!C23+'9.1.3. sz. mell ÖNK'!C23</f>
        <v>0</v>
      </c>
    </row>
    <row r="24" spans="1:3" s="115" customFormat="1" ht="12" customHeight="1" x14ac:dyDescent="0.2">
      <c r="A24" s="481" t="s">
        <v>90</v>
      </c>
      <c r="B24" s="462" t="s">
        <v>264</v>
      </c>
      <c r="C24" s="335">
        <f>'9.1.1. sz. mell ÖNK'!C24+'9.1.2. sz. mell ÖNK'!C24+'9.1.3. sz. mell ÖNK'!C24</f>
        <v>0</v>
      </c>
    </row>
    <row r="25" spans="1:3" s="116" customFormat="1" ht="12" customHeight="1" x14ac:dyDescent="0.2">
      <c r="A25" s="481" t="s">
        <v>91</v>
      </c>
      <c r="B25" s="462" t="s">
        <v>428</v>
      </c>
      <c r="C25" s="335">
        <f>'9.1.1. sz. mell ÖNK'!C25+'9.1.2. sz. mell ÖNK'!C25+'9.1.3. sz. mell ÖNK'!C25</f>
        <v>0</v>
      </c>
    </row>
    <row r="26" spans="1:3" s="116" customFormat="1" ht="12" customHeight="1" x14ac:dyDescent="0.2">
      <c r="A26" s="481" t="s">
        <v>92</v>
      </c>
      <c r="B26" s="462" t="s">
        <v>429</v>
      </c>
      <c r="C26" s="335">
        <f>'9.1.1. sz. mell ÖNK'!C26+'9.1.2. sz. mell ÖNK'!C26+'9.1.3. sz. mell ÖNK'!C26</f>
        <v>0</v>
      </c>
    </row>
    <row r="27" spans="1:3" s="116" customFormat="1" ht="12" customHeight="1" x14ac:dyDescent="0.2">
      <c r="A27" s="481" t="s">
        <v>169</v>
      </c>
      <c r="B27" s="462" t="s">
        <v>265</v>
      </c>
      <c r="C27" s="335">
        <f>'9.1.1. sz. mell ÖNK'!C27+'9.1.2. sz. mell ÖNK'!C27+'9.1.3. sz. mell ÖNK'!C27</f>
        <v>445842552</v>
      </c>
    </row>
    <row r="28" spans="1:3" s="116" customFormat="1" ht="12" customHeight="1" thickBot="1" x14ac:dyDescent="0.25">
      <c r="A28" s="482" t="s">
        <v>170</v>
      </c>
      <c r="B28" s="463" t="s">
        <v>266</v>
      </c>
      <c r="C28" s="335">
        <f>'9.1.1. sz. mell ÖNK'!C28+'9.1.2. sz. mell ÖNK'!C28+'9.1.3. sz. mell ÖNK'!C28</f>
        <v>129589139</v>
      </c>
    </row>
    <row r="29" spans="1:3" s="116" customFormat="1" ht="12" customHeight="1" thickBot="1" x14ac:dyDescent="0.25">
      <c r="A29" s="36" t="s">
        <v>171</v>
      </c>
      <c r="B29" s="21" t="s">
        <v>564</v>
      </c>
      <c r="C29" s="338">
        <f>+C30+C34+C35+C36+C32+C33+C31</f>
        <v>100758000</v>
      </c>
    </row>
    <row r="30" spans="1:3" s="116" customFormat="1" ht="12" customHeight="1" x14ac:dyDescent="0.2">
      <c r="A30" s="480" t="s">
        <v>268</v>
      </c>
      <c r="B30" s="461" t="s">
        <v>559</v>
      </c>
      <c r="C30" s="456">
        <f>'9.1.1. sz. mell ÖNK'!C30+'9.1.2. sz. mell ÖNK'!C30+'9.1.3. sz. mell ÖNK'!C30</f>
        <v>13000000</v>
      </c>
    </row>
    <row r="31" spans="1:3" s="116" customFormat="1" ht="12" customHeight="1" x14ac:dyDescent="0.2">
      <c r="A31" s="481" t="s">
        <v>269</v>
      </c>
      <c r="B31" s="462" t="s">
        <v>560</v>
      </c>
      <c r="C31" s="456">
        <f>'9.1.1. sz. mell ÖNK'!C31+'9.1.2. sz. mell ÖNK'!C31+'9.1.3. sz. mell ÖNK'!C31</f>
        <v>15000</v>
      </c>
    </row>
    <row r="32" spans="1:3" s="116" customFormat="1" ht="12" customHeight="1" x14ac:dyDescent="0.2">
      <c r="A32" s="481" t="s">
        <v>270</v>
      </c>
      <c r="B32" s="462" t="s">
        <v>561</v>
      </c>
      <c r="C32" s="456">
        <f>'9.1.1. sz. mell ÖNK'!C32+'9.1.2. sz. mell ÖNK'!C32+'9.1.3. sz. mell ÖNK'!C32</f>
        <v>71200000</v>
      </c>
    </row>
    <row r="33" spans="1:3" s="116" customFormat="1" ht="12" customHeight="1" x14ac:dyDescent="0.2">
      <c r="A33" s="481" t="s">
        <v>271</v>
      </c>
      <c r="B33" s="462" t="s">
        <v>562</v>
      </c>
      <c r="C33" s="456">
        <f>'9.1.1. sz. mell ÖNK'!C33+'9.1.2. sz. mell ÖNK'!C33+'9.1.3. sz. mell ÖNK'!C33</f>
        <v>40000</v>
      </c>
    </row>
    <row r="34" spans="1:3" s="116" customFormat="1" ht="12" customHeight="1" x14ac:dyDescent="0.2">
      <c r="A34" s="481" t="s">
        <v>556</v>
      </c>
      <c r="B34" s="462" t="s">
        <v>272</v>
      </c>
      <c r="C34" s="456">
        <f>'9.1.1. sz. mell ÖNK'!C34+'9.1.2. sz. mell ÖNK'!C34+'9.1.3. sz. mell ÖNK'!C34</f>
        <v>13500000</v>
      </c>
    </row>
    <row r="35" spans="1:3" s="116" customFormat="1" ht="12" customHeight="1" x14ac:dyDescent="0.2">
      <c r="A35" s="481" t="s">
        <v>557</v>
      </c>
      <c r="B35" s="462" t="s">
        <v>273</v>
      </c>
      <c r="C35" s="456">
        <f>'9.1.1. sz. mell ÖNK'!C35+'9.1.2. sz. mell ÖNK'!C35+'9.1.3. sz. mell ÖNK'!C35</f>
        <v>0</v>
      </c>
    </row>
    <row r="36" spans="1:3" s="116" customFormat="1" ht="12" customHeight="1" thickBot="1" x14ac:dyDescent="0.25">
      <c r="A36" s="482" t="s">
        <v>558</v>
      </c>
      <c r="B36" s="566" t="s">
        <v>274</v>
      </c>
      <c r="C36" s="456">
        <f>'9.1.1. sz. mell ÖNK'!C36+'9.1.2. sz. mell ÖNK'!C36+'9.1.3. sz. mell ÖNK'!C36</f>
        <v>3003000</v>
      </c>
    </row>
    <row r="37" spans="1:3" s="116" customFormat="1" ht="12" customHeight="1" thickBot="1" x14ac:dyDescent="0.25">
      <c r="A37" s="36" t="s">
        <v>22</v>
      </c>
      <c r="B37" s="21" t="s">
        <v>438</v>
      </c>
      <c r="C37" s="332">
        <f>SUM(C38:C48)</f>
        <v>19289060</v>
      </c>
    </row>
    <row r="38" spans="1:3" s="116" customFormat="1" ht="12" customHeight="1" x14ac:dyDescent="0.2">
      <c r="A38" s="480" t="s">
        <v>93</v>
      </c>
      <c r="B38" s="461" t="s">
        <v>277</v>
      </c>
      <c r="C38" s="335">
        <f>'9.1.1. sz. mell ÖNK'!C38+'9.1.2. sz. mell ÖNK'!C38+'9.1.3. sz. mell ÖNK'!C38</f>
        <v>0</v>
      </c>
    </row>
    <row r="39" spans="1:3" s="116" customFormat="1" ht="12" customHeight="1" x14ac:dyDescent="0.2">
      <c r="A39" s="481" t="s">
        <v>94</v>
      </c>
      <c r="B39" s="462" t="s">
        <v>278</v>
      </c>
      <c r="C39" s="335">
        <f>'9.1.1. sz. mell ÖNK'!C39+'9.1.2. sz. mell ÖNK'!C39+'9.1.3. sz. mell ÖNK'!C39</f>
        <v>8400000</v>
      </c>
    </row>
    <row r="40" spans="1:3" s="116" customFormat="1" ht="12" customHeight="1" x14ac:dyDescent="0.2">
      <c r="A40" s="481" t="s">
        <v>95</v>
      </c>
      <c r="B40" s="462" t="s">
        <v>279</v>
      </c>
      <c r="C40" s="335">
        <f>'9.1.1. sz. mell ÖNK'!C40+'9.1.2. sz. mell ÖNK'!C40+'9.1.3. sz. mell ÖNK'!C40</f>
        <v>2100000</v>
      </c>
    </row>
    <row r="41" spans="1:3" s="116" customFormat="1" ht="12" customHeight="1" x14ac:dyDescent="0.2">
      <c r="A41" s="481" t="s">
        <v>173</v>
      </c>
      <c r="B41" s="462" t="s">
        <v>280</v>
      </c>
      <c r="C41" s="335">
        <f>'9.1.1. sz. mell ÖNK'!C41+'9.1.2. sz. mell ÖNK'!C41+'9.1.3. sz. mell ÖNK'!C41</f>
        <v>3500000</v>
      </c>
    </row>
    <row r="42" spans="1:3" s="116" customFormat="1" ht="12" customHeight="1" x14ac:dyDescent="0.2">
      <c r="A42" s="481" t="s">
        <v>174</v>
      </c>
      <c r="B42" s="462" t="s">
        <v>281</v>
      </c>
      <c r="C42" s="335">
        <f>'9.1.1. sz. mell ÖNK'!C42+'9.1.2. sz. mell ÖNK'!C42+'9.1.3. sz. mell ÖNK'!C42</f>
        <v>0</v>
      </c>
    </row>
    <row r="43" spans="1:3" s="116" customFormat="1" ht="12" customHeight="1" x14ac:dyDescent="0.2">
      <c r="A43" s="481" t="s">
        <v>175</v>
      </c>
      <c r="B43" s="462" t="s">
        <v>282</v>
      </c>
      <c r="C43" s="335">
        <f>'9.1.1. sz. mell ÖNK'!C43+'9.1.2. sz. mell ÖNK'!C43+'9.1.3. sz. mell ÖNK'!C43</f>
        <v>5289060</v>
      </c>
    </row>
    <row r="44" spans="1:3" s="116" customFormat="1" ht="12" customHeight="1" x14ac:dyDescent="0.2">
      <c r="A44" s="481" t="s">
        <v>176</v>
      </c>
      <c r="B44" s="462" t="s">
        <v>283</v>
      </c>
      <c r="C44" s="335">
        <f>'9.1.1. sz. mell ÖNK'!C44+'9.1.2. sz. mell ÖNK'!C44+'9.1.3. sz. mell ÖNK'!C44</f>
        <v>0</v>
      </c>
    </row>
    <row r="45" spans="1:3" s="116" customFormat="1" ht="12" customHeight="1" x14ac:dyDescent="0.2">
      <c r="A45" s="481" t="s">
        <v>177</v>
      </c>
      <c r="B45" s="462" t="s">
        <v>563</v>
      </c>
      <c r="C45" s="335">
        <f>'9.1.1. sz. mell ÖNK'!C45+'9.1.2. sz. mell ÖNK'!C45+'9.1.3. sz. mell ÖNK'!C45</f>
        <v>0</v>
      </c>
    </row>
    <row r="46" spans="1:3" s="116" customFormat="1" ht="12" customHeight="1" x14ac:dyDescent="0.2">
      <c r="A46" s="481" t="s">
        <v>275</v>
      </c>
      <c r="B46" s="462" t="s">
        <v>285</v>
      </c>
      <c r="C46" s="335">
        <f>'9.1.1. sz. mell ÖNK'!C46+'9.1.2. sz. mell ÖNK'!C46+'9.1.3. sz. mell ÖNK'!C46</f>
        <v>0</v>
      </c>
    </row>
    <row r="47" spans="1:3" s="116" customFormat="1" ht="12" customHeight="1" x14ac:dyDescent="0.2">
      <c r="A47" s="482" t="s">
        <v>276</v>
      </c>
      <c r="B47" s="463" t="s">
        <v>440</v>
      </c>
      <c r="C47" s="335">
        <f>'9.1.1. sz. mell ÖNK'!C47+'9.1.2. sz. mell ÖNK'!C47+'9.1.3. sz. mell ÖNK'!C47</f>
        <v>0</v>
      </c>
    </row>
    <row r="48" spans="1:3" s="116" customFormat="1" ht="12" customHeight="1" thickBot="1" x14ac:dyDescent="0.25">
      <c r="A48" s="482" t="s">
        <v>439</v>
      </c>
      <c r="B48" s="463" t="s">
        <v>286</v>
      </c>
      <c r="C48" s="335">
        <f>'9.1.1. sz. mell ÖNK'!C48+'9.1.2. sz. mell ÖNK'!C48+'9.1.3. sz. mell ÖNK'!C48</f>
        <v>0</v>
      </c>
    </row>
    <row r="49" spans="1:3" s="116" customFormat="1" ht="12" customHeight="1" thickBot="1" x14ac:dyDescent="0.25">
      <c r="A49" s="36" t="s">
        <v>23</v>
      </c>
      <c r="B49" s="21" t="s">
        <v>287</v>
      </c>
      <c r="C49" s="332">
        <f>SUM(C50:C54)</f>
        <v>34182000</v>
      </c>
    </row>
    <row r="50" spans="1:3" s="116" customFormat="1" ht="12" customHeight="1" x14ac:dyDescent="0.2">
      <c r="A50" s="480" t="s">
        <v>96</v>
      </c>
      <c r="B50" s="461" t="s">
        <v>291</v>
      </c>
      <c r="C50" s="506">
        <f>'9.1.1. sz. mell ÖNK'!C50+'9.1.2. sz. mell ÖNK'!C50+'9.1.3. sz. mell ÖNK'!C50</f>
        <v>0</v>
      </c>
    </row>
    <row r="51" spans="1:3" s="116" customFormat="1" ht="12" customHeight="1" x14ac:dyDescent="0.2">
      <c r="A51" s="481" t="s">
        <v>97</v>
      </c>
      <c r="B51" s="462" t="s">
        <v>292</v>
      </c>
      <c r="C51" s="506">
        <f>'9.1.1. sz. mell ÖNK'!C51+'9.1.2. sz. mell ÖNK'!C51+'9.1.3. sz. mell ÖNK'!C51</f>
        <v>34182000</v>
      </c>
    </row>
    <row r="52" spans="1:3" s="116" customFormat="1" ht="12" customHeight="1" x14ac:dyDescent="0.2">
      <c r="A52" s="481" t="s">
        <v>288</v>
      </c>
      <c r="B52" s="462" t="s">
        <v>293</v>
      </c>
      <c r="C52" s="506">
        <f>'9.1.1. sz. mell ÖNK'!C52+'9.1.2. sz. mell ÖNK'!C52+'9.1.3. sz. mell ÖNK'!C52</f>
        <v>0</v>
      </c>
    </row>
    <row r="53" spans="1:3" s="116" customFormat="1" ht="12" customHeight="1" x14ac:dyDescent="0.2">
      <c r="A53" s="481" t="s">
        <v>289</v>
      </c>
      <c r="B53" s="462" t="s">
        <v>294</v>
      </c>
      <c r="C53" s="506">
        <f>'9.1.1. sz. mell ÖNK'!C53+'9.1.2. sz. mell ÖNK'!C53+'9.1.3. sz. mell ÖNK'!C53</f>
        <v>0</v>
      </c>
    </row>
    <row r="54" spans="1:3" s="116" customFormat="1" ht="12" customHeight="1" thickBot="1" x14ac:dyDescent="0.25">
      <c r="A54" s="482" t="s">
        <v>290</v>
      </c>
      <c r="B54" s="463" t="s">
        <v>295</v>
      </c>
      <c r="C54" s="506">
        <f>'9.1.1. sz. mell ÖNK'!C54+'9.1.2. sz. mell ÖNK'!C54+'9.1.3. sz. mell ÖNK'!C54</f>
        <v>0</v>
      </c>
    </row>
    <row r="55" spans="1:3" s="116" customFormat="1" ht="12" customHeight="1" thickBot="1" x14ac:dyDescent="0.25">
      <c r="A55" s="36" t="s">
        <v>178</v>
      </c>
      <c r="B55" s="21" t="s">
        <v>296</v>
      </c>
      <c r="C55" s="332">
        <f>SUM(C56:C58)</f>
        <v>0</v>
      </c>
    </row>
    <row r="56" spans="1:3" s="116" customFormat="1" ht="12" customHeight="1" x14ac:dyDescent="0.2">
      <c r="A56" s="480" t="s">
        <v>98</v>
      </c>
      <c r="B56" s="461" t="s">
        <v>297</v>
      </c>
      <c r="C56" s="335">
        <f>'9.1.1. sz. mell ÖNK'!C56+'9.1.2. sz. mell ÖNK'!C56+'9.1.3. sz. mell ÖNK'!C56</f>
        <v>0</v>
      </c>
    </row>
    <row r="57" spans="1:3" s="116" customFormat="1" ht="12" customHeight="1" x14ac:dyDescent="0.2">
      <c r="A57" s="481" t="s">
        <v>99</v>
      </c>
      <c r="B57" s="462" t="s">
        <v>430</v>
      </c>
      <c r="C57" s="335">
        <f>'9.1.1. sz. mell ÖNK'!C57+'9.1.2. sz. mell ÖNK'!C57+'9.1.3. sz. mell ÖNK'!C57</f>
        <v>0</v>
      </c>
    </row>
    <row r="58" spans="1:3" s="116" customFormat="1" ht="12" customHeight="1" x14ac:dyDescent="0.2">
      <c r="A58" s="481" t="s">
        <v>300</v>
      </c>
      <c r="B58" s="462" t="s">
        <v>298</v>
      </c>
      <c r="C58" s="335">
        <f>'9.1.1. sz. mell ÖNK'!C58+'9.1.2. sz. mell ÖNK'!C58+'9.1.3. sz. mell ÖNK'!C58</f>
        <v>0</v>
      </c>
    </row>
    <row r="59" spans="1:3" s="116" customFormat="1" ht="12" customHeight="1" thickBot="1" x14ac:dyDescent="0.25">
      <c r="A59" s="482" t="s">
        <v>301</v>
      </c>
      <c r="B59" s="463" t="s">
        <v>299</v>
      </c>
      <c r="C59" s="335">
        <f>'9.1.1. sz. mell ÖNK'!C59+'9.1.2. sz. mell ÖNK'!C59+'9.1.3. sz. mell ÖNK'!C59</f>
        <v>0</v>
      </c>
    </row>
    <row r="60" spans="1:3" s="116" customFormat="1" ht="12" customHeight="1" thickBot="1" x14ac:dyDescent="0.25">
      <c r="A60" s="36" t="s">
        <v>25</v>
      </c>
      <c r="B60" s="327" t="s">
        <v>302</v>
      </c>
      <c r="C60" s="332">
        <f>SUM(C61:C63)</f>
        <v>810000</v>
      </c>
    </row>
    <row r="61" spans="1:3" s="116" customFormat="1" ht="12" customHeight="1" x14ac:dyDescent="0.2">
      <c r="A61" s="480" t="s">
        <v>179</v>
      </c>
      <c r="B61" s="461" t="s">
        <v>304</v>
      </c>
      <c r="C61" s="337">
        <f>'9.1.1. sz. mell ÖNK'!C61+'9.1.2. sz. mell ÖNK'!C61+'9.1.3. sz. mell ÖNK'!C61</f>
        <v>0</v>
      </c>
    </row>
    <row r="62" spans="1:3" s="116" customFormat="1" ht="12" customHeight="1" x14ac:dyDescent="0.2">
      <c r="A62" s="481" t="s">
        <v>180</v>
      </c>
      <c r="B62" s="462" t="s">
        <v>431</v>
      </c>
      <c r="C62" s="337">
        <f>'9.1.1. sz. mell ÖNK'!C62+'9.1.2. sz. mell ÖNK'!C62+'9.1.3. sz. mell ÖNK'!C62</f>
        <v>810000</v>
      </c>
    </row>
    <row r="63" spans="1:3" s="116" customFormat="1" ht="12" customHeight="1" x14ac:dyDescent="0.2">
      <c r="A63" s="481" t="s">
        <v>228</v>
      </c>
      <c r="B63" s="462" t="s">
        <v>305</v>
      </c>
      <c r="C63" s="337">
        <f>'9.1.1. sz. mell ÖNK'!C63+'9.1.2. sz. mell ÖNK'!C63+'9.1.3. sz. mell ÖNK'!C63</f>
        <v>0</v>
      </c>
    </row>
    <row r="64" spans="1:3" s="116" customFormat="1" ht="12" customHeight="1" thickBot="1" x14ac:dyDescent="0.25">
      <c r="A64" s="482" t="s">
        <v>303</v>
      </c>
      <c r="B64" s="463" t="s">
        <v>306</v>
      </c>
      <c r="C64" s="337">
        <f>'9.1.1. sz. mell ÖNK'!C64+'9.1.2. sz. mell ÖNK'!C64+'9.1.3. sz. mell ÖNK'!C64</f>
        <v>0</v>
      </c>
    </row>
    <row r="65" spans="1:3" s="116" customFormat="1" ht="12" customHeight="1" thickBot="1" x14ac:dyDescent="0.25">
      <c r="A65" s="36" t="s">
        <v>26</v>
      </c>
      <c r="B65" s="21" t="s">
        <v>307</v>
      </c>
      <c r="C65" s="338">
        <f>+C8+C15+C22+C29+C37+C49+C55+C60</f>
        <v>1629828784</v>
      </c>
    </row>
    <row r="66" spans="1:3" s="116" customFormat="1" ht="12" customHeight="1" thickBot="1" x14ac:dyDescent="0.2">
      <c r="A66" s="483" t="s">
        <v>398</v>
      </c>
      <c r="B66" s="327" t="s">
        <v>309</v>
      </c>
      <c r="C66" s="332">
        <f>SUM(C67:C69)</f>
        <v>29896000</v>
      </c>
    </row>
    <row r="67" spans="1:3" s="116" customFormat="1" ht="12" customHeight="1" x14ac:dyDescent="0.2">
      <c r="A67" s="480" t="s">
        <v>340</v>
      </c>
      <c r="B67" s="461" t="s">
        <v>310</v>
      </c>
      <c r="C67" s="337">
        <f>'9.1.1. sz. mell ÖNK'!C67+'9.1.2. sz. mell ÖNK'!C67+'9.1.3. sz. mell ÖNK'!C67</f>
        <v>29896000</v>
      </c>
    </row>
    <row r="68" spans="1:3" s="116" customFormat="1" ht="12" customHeight="1" x14ac:dyDescent="0.2">
      <c r="A68" s="481" t="s">
        <v>349</v>
      </c>
      <c r="B68" s="462" t="s">
        <v>311</v>
      </c>
      <c r="C68" s="337">
        <f>'9.1.1. sz. mell ÖNK'!C68+'9.1.2. sz. mell ÖNK'!C68+'9.1.3. sz. mell ÖNK'!C68</f>
        <v>0</v>
      </c>
    </row>
    <row r="69" spans="1:3" s="116" customFormat="1" ht="12" customHeight="1" thickBot="1" x14ac:dyDescent="0.25">
      <c r="A69" s="482" t="s">
        <v>350</v>
      </c>
      <c r="B69" s="464" t="s">
        <v>312</v>
      </c>
      <c r="C69" s="337">
        <f>'9.1.1. sz. mell ÖNK'!C69+'9.1.2. sz. mell ÖNK'!C69+'9.1.3. sz. mell ÖNK'!C69</f>
        <v>0</v>
      </c>
    </row>
    <row r="70" spans="1:3" s="116" customFormat="1" ht="12" customHeight="1" thickBot="1" x14ac:dyDescent="0.2">
      <c r="A70" s="483" t="s">
        <v>313</v>
      </c>
      <c r="B70" s="327" t="s">
        <v>314</v>
      </c>
      <c r="C70" s="332">
        <f>SUM(C71:C74)</f>
        <v>0</v>
      </c>
    </row>
    <row r="71" spans="1:3" s="116" customFormat="1" ht="12" customHeight="1" x14ac:dyDescent="0.2">
      <c r="A71" s="480" t="s">
        <v>150</v>
      </c>
      <c r="B71" s="461" t="s">
        <v>315</v>
      </c>
      <c r="C71" s="337">
        <f>'9.1.1. sz. mell ÖNK'!C71+'9.1.2. sz. mell ÖNK'!C71+'9.1.3. sz. mell ÖNK'!C71</f>
        <v>0</v>
      </c>
    </row>
    <row r="72" spans="1:3" s="116" customFormat="1" ht="12" customHeight="1" x14ac:dyDescent="0.2">
      <c r="A72" s="481" t="s">
        <v>151</v>
      </c>
      <c r="B72" s="462" t="s">
        <v>316</v>
      </c>
      <c r="C72" s="337">
        <f>'9.1.1. sz. mell ÖNK'!C72+'9.1.2. sz. mell ÖNK'!C72+'9.1.3. sz. mell ÖNK'!C72</f>
        <v>0</v>
      </c>
    </row>
    <row r="73" spans="1:3" s="116" customFormat="1" ht="12" customHeight="1" x14ac:dyDescent="0.2">
      <c r="A73" s="481" t="s">
        <v>341</v>
      </c>
      <c r="B73" s="462" t="s">
        <v>317</v>
      </c>
      <c r="C73" s="337">
        <f>'9.1.1. sz. mell ÖNK'!C73+'9.1.2. sz. mell ÖNK'!C73+'9.1.3. sz. mell ÖNK'!C73</f>
        <v>0</v>
      </c>
    </row>
    <row r="74" spans="1:3" s="116" customFormat="1" ht="12" customHeight="1" thickBot="1" x14ac:dyDescent="0.25">
      <c r="A74" s="482" t="s">
        <v>342</v>
      </c>
      <c r="B74" s="463" t="s">
        <v>318</v>
      </c>
      <c r="C74" s="337">
        <f>'9.1.1. sz. mell ÖNK'!C74+'9.1.2. sz. mell ÖNK'!C74+'9.1.3. sz. mell ÖNK'!C74</f>
        <v>0</v>
      </c>
    </row>
    <row r="75" spans="1:3" s="116" customFormat="1" ht="12" customHeight="1" thickBot="1" x14ac:dyDescent="0.2">
      <c r="A75" s="483" t="s">
        <v>319</v>
      </c>
      <c r="B75" s="327" t="s">
        <v>320</v>
      </c>
      <c r="C75" s="332">
        <f>SUM(C76:C77)</f>
        <v>189394975</v>
      </c>
    </row>
    <row r="76" spans="1:3" s="116" customFormat="1" ht="12" customHeight="1" x14ac:dyDescent="0.2">
      <c r="A76" s="480" t="s">
        <v>343</v>
      </c>
      <c r="B76" s="461" t="s">
        <v>321</v>
      </c>
      <c r="C76" s="337">
        <f>'9.1.1. sz. mell ÖNK'!C76+'9.1.2. sz. mell ÖNK'!C76+'9.1.3. sz. mell ÖNK'!C76</f>
        <v>189394975</v>
      </c>
    </row>
    <row r="77" spans="1:3" s="116" customFormat="1" ht="12" customHeight="1" thickBot="1" x14ac:dyDescent="0.25">
      <c r="A77" s="482" t="s">
        <v>344</v>
      </c>
      <c r="B77" s="463" t="s">
        <v>322</v>
      </c>
      <c r="C77" s="337">
        <f>'9.1.1. sz. mell ÖNK'!C77+'9.1.2. sz. mell ÖNK'!C77+'9.1.3. sz. mell ÖNK'!C77</f>
        <v>0</v>
      </c>
    </row>
    <row r="78" spans="1:3" s="115" customFormat="1" ht="12" customHeight="1" thickBot="1" x14ac:dyDescent="0.2">
      <c r="A78" s="483" t="s">
        <v>323</v>
      </c>
      <c r="B78" s="327" t="s">
        <v>324</v>
      </c>
      <c r="C78" s="332">
        <f>SUM(C79:C81)</f>
        <v>0</v>
      </c>
    </row>
    <row r="79" spans="1:3" s="116" customFormat="1" ht="12" customHeight="1" x14ac:dyDescent="0.2">
      <c r="A79" s="480" t="s">
        <v>345</v>
      </c>
      <c r="B79" s="461" t="s">
        <v>325</v>
      </c>
      <c r="C79" s="337">
        <f>'9.1.1. sz. mell ÖNK'!C79+'9.1.2. sz. mell ÖNK'!C79+'9.1.3. sz. mell ÖNK'!C79</f>
        <v>0</v>
      </c>
    </row>
    <row r="80" spans="1:3" s="116" customFormat="1" ht="12" customHeight="1" x14ac:dyDescent="0.2">
      <c r="A80" s="481" t="s">
        <v>346</v>
      </c>
      <c r="B80" s="462" t="s">
        <v>326</v>
      </c>
      <c r="C80" s="337">
        <f>'9.1.1. sz. mell ÖNK'!C80+'9.1.2. sz. mell ÖNK'!C80+'9.1.3. sz. mell ÖNK'!C80</f>
        <v>0</v>
      </c>
    </row>
    <row r="81" spans="1:3" s="116" customFormat="1" ht="12" customHeight="1" thickBot="1" x14ac:dyDescent="0.25">
      <c r="A81" s="482" t="s">
        <v>347</v>
      </c>
      <c r="B81" s="463" t="s">
        <v>327</v>
      </c>
      <c r="C81" s="337">
        <f>'9.1.1. sz. mell ÖNK'!C81+'9.1.2. sz. mell ÖNK'!C81+'9.1.3. sz. mell ÖNK'!C81</f>
        <v>0</v>
      </c>
    </row>
    <row r="82" spans="1:3" s="116" customFormat="1" ht="12" customHeight="1" thickBot="1" x14ac:dyDescent="0.2">
      <c r="A82" s="483" t="s">
        <v>328</v>
      </c>
      <c r="B82" s="327" t="s">
        <v>348</v>
      </c>
      <c r="C82" s="332">
        <f>SUM(C83:C86)</f>
        <v>0</v>
      </c>
    </row>
    <row r="83" spans="1:3" s="116" customFormat="1" ht="12" customHeight="1" x14ac:dyDescent="0.2">
      <c r="A83" s="484" t="s">
        <v>329</v>
      </c>
      <c r="B83" s="461" t="s">
        <v>330</v>
      </c>
      <c r="C83" s="337">
        <f>'9.1.1. sz. mell ÖNK'!C83+'9.1.2. sz. mell ÖNK'!C83+'9.1.3. sz. mell ÖNK'!C83</f>
        <v>0</v>
      </c>
    </row>
    <row r="84" spans="1:3" s="116" customFormat="1" ht="12" customHeight="1" x14ac:dyDescent="0.2">
      <c r="A84" s="485" t="s">
        <v>331</v>
      </c>
      <c r="B84" s="462" t="s">
        <v>332</v>
      </c>
      <c r="C84" s="337">
        <f>'9.1.1. sz. mell ÖNK'!C84+'9.1.2. sz. mell ÖNK'!C84+'9.1.3. sz. mell ÖNK'!C84</f>
        <v>0</v>
      </c>
    </row>
    <row r="85" spans="1:3" s="116" customFormat="1" ht="12" customHeight="1" x14ac:dyDescent="0.2">
      <c r="A85" s="485" t="s">
        <v>333</v>
      </c>
      <c r="B85" s="462" t="s">
        <v>334</v>
      </c>
      <c r="C85" s="337">
        <f>'9.1.1. sz. mell ÖNK'!C85+'9.1.2. sz. mell ÖNK'!C85+'9.1.3. sz. mell ÖNK'!C85</f>
        <v>0</v>
      </c>
    </row>
    <row r="86" spans="1:3" s="115" customFormat="1" ht="12" customHeight="1" thickBot="1" x14ac:dyDescent="0.25">
      <c r="A86" s="486" t="s">
        <v>335</v>
      </c>
      <c r="B86" s="463" t="s">
        <v>336</v>
      </c>
      <c r="C86" s="337">
        <f>'9.1.1. sz. mell ÖNK'!C86+'9.1.2. sz. mell ÖNK'!C86+'9.1.3. sz. mell ÖNK'!C86</f>
        <v>0</v>
      </c>
    </row>
    <row r="87" spans="1:3" s="115" customFormat="1" ht="12" customHeight="1" thickBot="1" x14ac:dyDescent="0.2">
      <c r="A87" s="483" t="s">
        <v>337</v>
      </c>
      <c r="B87" s="327" t="s">
        <v>479</v>
      </c>
      <c r="C87" s="507"/>
    </row>
    <row r="88" spans="1:3" s="115" customFormat="1" ht="12" customHeight="1" thickBot="1" x14ac:dyDescent="0.2">
      <c r="A88" s="483" t="s">
        <v>509</v>
      </c>
      <c r="B88" s="327" t="s">
        <v>338</v>
      </c>
      <c r="C88" s="507"/>
    </row>
    <row r="89" spans="1:3" s="115" customFormat="1" ht="12" customHeight="1" thickBot="1" x14ac:dyDescent="0.2">
      <c r="A89" s="483" t="s">
        <v>510</v>
      </c>
      <c r="B89" s="468" t="s">
        <v>482</v>
      </c>
      <c r="C89" s="338">
        <f>+C66+C70+C75+C78+C82+C88+C87</f>
        <v>219290975</v>
      </c>
    </row>
    <row r="90" spans="1:3" s="115" customFormat="1" ht="12" customHeight="1" thickBot="1" x14ac:dyDescent="0.2">
      <c r="A90" s="487" t="s">
        <v>511</v>
      </c>
      <c r="B90" s="469" t="s">
        <v>512</v>
      </c>
      <c r="C90" s="338">
        <f>+C65+C89</f>
        <v>1849119759</v>
      </c>
    </row>
    <row r="91" spans="1:3" s="116" customFormat="1" ht="15" customHeight="1" thickBot="1" x14ac:dyDescent="0.25">
      <c r="A91" s="269"/>
      <c r="B91" s="270"/>
      <c r="C91" s="402"/>
    </row>
    <row r="92" spans="1:3" s="75" customFormat="1" ht="16.5" customHeight="1" thickBot="1" x14ac:dyDescent="0.25">
      <c r="A92" s="273"/>
      <c r="B92" s="274" t="s">
        <v>58</v>
      </c>
      <c r="C92" s="404"/>
    </row>
    <row r="93" spans="1:3" s="117" customFormat="1" ht="12" customHeight="1" thickBot="1" x14ac:dyDescent="0.25">
      <c r="A93" s="453" t="s">
        <v>18</v>
      </c>
      <c r="B93" s="31" t="s">
        <v>516</v>
      </c>
      <c r="C93" s="331">
        <f>+C94+C95+C96+C98+C99+C112</f>
        <v>743379698</v>
      </c>
    </row>
    <row r="94" spans="1:3" ht="12" customHeight="1" x14ac:dyDescent="0.2">
      <c r="A94" s="488" t="s">
        <v>100</v>
      </c>
      <c r="B94" s="10" t="s">
        <v>49</v>
      </c>
      <c r="C94" s="580">
        <f>'9.1.1. sz. mell ÖNK'!C94+'9.1.2. sz. mell ÖNK'!C94+'9.1.3. sz. mell ÖNK'!C94</f>
        <v>320273580</v>
      </c>
    </row>
    <row r="95" spans="1:3" ht="12" customHeight="1" x14ac:dyDescent="0.2">
      <c r="A95" s="481" t="s">
        <v>101</v>
      </c>
      <c r="B95" s="8" t="s">
        <v>181</v>
      </c>
      <c r="C95" s="334">
        <f>'9.1.1. sz. mell ÖNK'!C95+'9.1.2. sz. mell ÖNK'!C95+'9.1.3. sz. mell ÖNK'!C95</f>
        <v>47761355</v>
      </c>
    </row>
    <row r="96" spans="1:3" ht="12" customHeight="1" x14ac:dyDescent="0.2">
      <c r="A96" s="481" t="s">
        <v>102</v>
      </c>
      <c r="B96" s="8" t="s">
        <v>142</v>
      </c>
      <c r="C96" s="334">
        <f>'9.1.1. sz. mell ÖNK'!C96+'9.1.2. sz. mell ÖNK'!C96+'9.1.3. sz. mell ÖNK'!C96</f>
        <v>312511071</v>
      </c>
    </row>
    <row r="97" spans="1:5" ht="12" customHeight="1" x14ac:dyDescent="0.2">
      <c r="A97" s="481"/>
      <c r="B97" s="616" t="s">
        <v>673</v>
      </c>
      <c r="C97" s="581">
        <f>+'9.1.1. sz. mell ÖNK'!C97</f>
        <v>1200000</v>
      </c>
    </row>
    <row r="98" spans="1:5" ht="12" customHeight="1" x14ac:dyDescent="0.2">
      <c r="A98" s="481" t="s">
        <v>103</v>
      </c>
      <c r="B98" s="11" t="s">
        <v>182</v>
      </c>
      <c r="C98" s="334">
        <f>'9.1.1. sz. mell ÖNK'!C98+'9.1.2. sz. mell ÖNK'!C97+'9.1.3. sz. mell ÖNK'!C97</f>
        <v>24760000</v>
      </c>
    </row>
    <row r="99" spans="1:5" ht="12" customHeight="1" x14ac:dyDescent="0.2">
      <c r="A99" s="481" t="s">
        <v>114</v>
      </c>
      <c r="B99" s="19" t="s">
        <v>183</v>
      </c>
      <c r="C99" s="581">
        <f>'9.1.1. sz. mell ÖNK'!C99+'9.1.2. sz. mell ÖNK'!C98+'9.1.3. sz. mell ÖNK'!C98</f>
        <v>31309475</v>
      </c>
    </row>
    <row r="100" spans="1:5" ht="12" customHeight="1" x14ac:dyDescent="0.2">
      <c r="A100" s="481" t="s">
        <v>104</v>
      </c>
      <c r="B100" s="8" t="s">
        <v>513</v>
      </c>
      <c r="C100" s="334">
        <f>'9.1.1. sz. mell ÖNK'!C100+'9.1.2. sz. mell ÖNK'!C99+'9.1.3. sz. mell ÖNK'!C99</f>
        <v>409475</v>
      </c>
    </row>
    <row r="101" spans="1:5" ht="12" customHeight="1" x14ac:dyDescent="0.2">
      <c r="A101" s="481" t="s">
        <v>105</v>
      </c>
      <c r="B101" s="167" t="s">
        <v>445</v>
      </c>
      <c r="C101" s="581">
        <f>'9.1.1. sz. mell ÖNK'!C101+'9.1.2. sz. mell ÖNK'!C100+'9.1.3. sz. mell ÖNK'!C100</f>
        <v>0</v>
      </c>
    </row>
    <row r="102" spans="1:5" ht="12" customHeight="1" x14ac:dyDescent="0.2">
      <c r="A102" s="481" t="s">
        <v>115</v>
      </c>
      <c r="B102" s="167" t="s">
        <v>444</v>
      </c>
      <c r="C102" s="334">
        <f>'9.1.1. sz. mell ÖNK'!C102+'9.1.2. sz. mell ÖNK'!C101+'9.1.3. sz. mell ÖNK'!C101</f>
        <v>0</v>
      </c>
    </row>
    <row r="103" spans="1:5" ht="12" customHeight="1" x14ac:dyDescent="0.2">
      <c r="A103" s="481" t="s">
        <v>116</v>
      </c>
      <c r="B103" s="167" t="s">
        <v>354</v>
      </c>
      <c r="C103" s="581">
        <f>'9.1.1. sz. mell ÖNK'!C103+'9.1.2. sz. mell ÖNK'!C102+'9.1.3. sz. mell ÖNK'!C102</f>
        <v>0</v>
      </c>
    </row>
    <row r="104" spans="1:5" ht="12" customHeight="1" x14ac:dyDescent="0.2">
      <c r="A104" s="481" t="s">
        <v>117</v>
      </c>
      <c r="B104" s="168" t="s">
        <v>355</v>
      </c>
      <c r="C104" s="334">
        <f>'9.1.1. sz. mell ÖNK'!C104+'9.1.2. sz. mell ÖNK'!C103+'9.1.3. sz. mell ÖNK'!C103</f>
        <v>0</v>
      </c>
    </row>
    <row r="105" spans="1:5" ht="12" customHeight="1" x14ac:dyDescent="0.2">
      <c r="A105" s="481" t="s">
        <v>118</v>
      </c>
      <c r="B105" s="168" t="s">
        <v>356</v>
      </c>
      <c r="C105" s="581">
        <f>'9.1.1. sz. mell ÖNK'!C105+'9.1.2. sz. mell ÖNK'!C104+'9.1.3. sz. mell ÖNK'!C104</f>
        <v>0</v>
      </c>
    </row>
    <row r="106" spans="1:5" ht="12" customHeight="1" x14ac:dyDescent="0.2">
      <c r="A106" s="481" t="s">
        <v>120</v>
      </c>
      <c r="B106" s="167" t="s">
        <v>357</v>
      </c>
      <c r="C106" s="334">
        <f>'9.1.1. sz. mell ÖNK'!C106+'9.1.2. sz. mell ÖNK'!C105+'9.1.3. sz. mell ÖNK'!C105</f>
        <v>1600000</v>
      </c>
    </row>
    <row r="107" spans="1:5" ht="12" customHeight="1" x14ac:dyDescent="0.2">
      <c r="A107" s="481" t="s">
        <v>184</v>
      </c>
      <c r="B107" s="167" t="s">
        <v>358</v>
      </c>
      <c r="C107" s="334">
        <f>'9.1.1. sz. mell ÖNK'!C107+'9.1.2. sz. mell ÖNK'!C106+'9.1.3. sz. mell ÖNK'!C106</f>
        <v>0</v>
      </c>
    </row>
    <row r="108" spans="1:5" ht="12" customHeight="1" x14ac:dyDescent="0.2">
      <c r="A108" s="481" t="s">
        <v>352</v>
      </c>
      <c r="B108" s="168" t="s">
        <v>359</v>
      </c>
      <c r="C108" s="334">
        <f>'9.1.1. sz. mell ÖNK'!C108+'9.1.2. sz. mell ÖNK'!C107+'9.1.3. sz. mell ÖNK'!C107</f>
        <v>2000000</v>
      </c>
      <c r="E108" s="47">
        <f>C156-C90</f>
        <v>0</v>
      </c>
    </row>
    <row r="109" spans="1:5" ht="12" customHeight="1" x14ac:dyDescent="0.2">
      <c r="A109" s="489" t="s">
        <v>353</v>
      </c>
      <c r="B109" s="169" t="s">
        <v>360</v>
      </c>
      <c r="C109" s="334">
        <f>'9.1.1. sz. mell ÖNK'!C109+'9.1.2. sz. mell ÖNK'!C108+'9.1.3. sz. mell ÖNK'!C108</f>
        <v>0</v>
      </c>
    </row>
    <row r="110" spans="1:5" ht="12" customHeight="1" x14ac:dyDescent="0.2">
      <c r="A110" s="481" t="s">
        <v>442</v>
      </c>
      <c r="B110" s="169" t="s">
        <v>361</v>
      </c>
      <c r="C110" s="334">
        <f>'9.1.1. sz. mell ÖNK'!C110+'9.1.2. sz. mell ÖNK'!C109+'9.1.3. sz. mell ÖNK'!C109</f>
        <v>0</v>
      </c>
    </row>
    <row r="111" spans="1:5" ht="12" customHeight="1" x14ac:dyDescent="0.2">
      <c r="A111" s="481" t="s">
        <v>443</v>
      </c>
      <c r="B111" s="168" t="s">
        <v>362</v>
      </c>
      <c r="C111" s="334">
        <f>'9.1.1. sz. mell ÖNK'!C111+'9.1.2. sz. mell ÖNK'!C110+'9.1.3. sz. mell ÖNK'!C110</f>
        <v>27300000</v>
      </c>
    </row>
    <row r="112" spans="1:5" ht="12" customHeight="1" x14ac:dyDescent="0.2">
      <c r="A112" s="481" t="s">
        <v>447</v>
      </c>
      <c r="B112" s="11" t="s">
        <v>50</v>
      </c>
      <c r="C112" s="334">
        <f>'9.1.1. sz. mell ÖNK'!C112+'9.1.2. sz. mell ÖNK'!C111+'9.1.3. sz. mell ÖNK'!C111</f>
        <v>6764217</v>
      </c>
    </row>
    <row r="113" spans="1:3" ht="12" customHeight="1" x14ac:dyDescent="0.2">
      <c r="A113" s="482" t="s">
        <v>448</v>
      </c>
      <c r="B113" s="8" t="s">
        <v>514</v>
      </c>
      <c r="C113" s="334">
        <f>'9.1.1. sz. mell ÖNK'!C113+'9.1.2. sz. mell ÖNK'!C112+'9.1.3. sz. mell ÖNK'!C112</f>
        <v>6764217</v>
      </c>
    </row>
    <row r="114" spans="1:3" ht="12" customHeight="1" thickBot="1" x14ac:dyDescent="0.25">
      <c r="A114" s="490" t="s">
        <v>449</v>
      </c>
      <c r="B114" s="170" t="s">
        <v>515</v>
      </c>
      <c r="C114" s="335">
        <f>'9.1.1. sz. mell ÖNK'!C114+'9.1.2. sz. mell ÖNK'!C113+'9.1.3. sz. mell ÖNK'!C113</f>
        <v>0</v>
      </c>
    </row>
    <row r="115" spans="1:3" ht="12" customHeight="1" thickBot="1" x14ac:dyDescent="0.25">
      <c r="A115" s="36" t="s">
        <v>19</v>
      </c>
      <c r="B115" s="30" t="s">
        <v>363</v>
      </c>
      <c r="C115" s="332">
        <f>+C116+C118+C120</f>
        <v>595101778</v>
      </c>
    </row>
    <row r="116" spans="1:3" ht="12" customHeight="1" x14ac:dyDescent="0.2">
      <c r="A116" s="480" t="s">
        <v>106</v>
      </c>
      <c r="B116" s="8" t="s">
        <v>226</v>
      </c>
      <c r="C116" s="335">
        <f>'9.1.1. sz. mell ÖNK'!C116+'9.1.2. sz. mell ÖNK'!C115+'9.1.3. sz. mell ÖNK'!C94</f>
        <v>549397418</v>
      </c>
    </row>
    <row r="117" spans="1:3" ht="12" customHeight="1" x14ac:dyDescent="0.2">
      <c r="A117" s="480" t="s">
        <v>107</v>
      </c>
      <c r="B117" s="12" t="s">
        <v>367</v>
      </c>
      <c r="C117" s="335">
        <f>'9.1.1. sz. mell ÖNK'!C117+'9.1.2. sz. mell ÖNK'!C116+'9.1.3. sz. mell ÖNK'!C95</f>
        <v>0</v>
      </c>
    </row>
    <row r="118" spans="1:3" ht="12" customHeight="1" x14ac:dyDescent="0.2">
      <c r="A118" s="480" t="s">
        <v>108</v>
      </c>
      <c r="B118" s="12" t="s">
        <v>185</v>
      </c>
      <c r="C118" s="335">
        <f>'9.1.1. sz. mell ÖNK'!C118+'9.1.2. sz. mell ÖNK'!C117+'9.1.3. sz. mell ÖNK'!C96</f>
        <v>45704360</v>
      </c>
    </row>
    <row r="119" spans="1:3" ht="12" customHeight="1" x14ac:dyDescent="0.2">
      <c r="A119" s="480" t="s">
        <v>109</v>
      </c>
      <c r="B119" s="12" t="s">
        <v>368</v>
      </c>
      <c r="C119" s="335">
        <f>'9.1.1. sz. mell ÖNK'!C119+'9.1.2. sz. mell ÖNK'!C118+'9.1.3. sz. mell ÖNK'!C97</f>
        <v>0</v>
      </c>
    </row>
    <row r="120" spans="1:3" ht="12" customHeight="1" x14ac:dyDescent="0.2">
      <c r="A120" s="480" t="s">
        <v>110</v>
      </c>
      <c r="B120" s="329" t="s">
        <v>229</v>
      </c>
      <c r="C120" s="335">
        <f>'9.1.1. sz. mell ÖNK'!C120+'9.1.2. sz. mell ÖNK'!C119+'9.1.3. sz. mell ÖNK'!C98</f>
        <v>0</v>
      </c>
    </row>
    <row r="121" spans="1:3" ht="12" customHeight="1" x14ac:dyDescent="0.2">
      <c r="A121" s="480" t="s">
        <v>119</v>
      </c>
      <c r="B121" s="328" t="s">
        <v>432</v>
      </c>
      <c r="C121" s="335">
        <f>'9.1.1. sz. mell ÖNK'!C121+'9.1.2. sz. mell ÖNK'!C120+'9.1.3. sz. mell ÖNK'!C99</f>
        <v>0</v>
      </c>
    </row>
    <row r="122" spans="1:3" ht="12" customHeight="1" x14ac:dyDescent="0.2">
      <c r="A122" s="480" t="s">
        <v>121</v>
      </c>
      <c r="B122" s="457" t="s">
        <v>373</v>
      </c>
      <c r="C122" s="335">
        <f>'9.1.1. sz. mell ÖNK'!C122+'9.1.2. sz. mell ÖNK'!C121+'9.1.3. sz. mell ÖNK'!C100</f>
        <v>0</v>
      </c>
    </row>
    <row r="123" spans="1:3" ht="12" customHeight="1" x14ac:dyDescent="0.2">
      <c r="A123" s="480" t="s">
        <v>186</v>
      </c>
      <c r="B123" s="168" t="s">
        <v>356</v>
      </c>
      <c r="C123" s="335">
        <f>'9.1.1. sz. mell ÖNK'!C123+'9.1.2. sz. mell ÖNK'!C122+'9.1.3. sz. mell ÖNK'!C101</f>
        <v>0</v>
      </c>
    </row>
    <row r="124" spans="1:3" ht="12" customHeight="1" x14ac:dyDescent="0.2">
      <c r="A124" s="480" t="s">
        <v>187</v>
      </c>
      <c r="B124" s="168" t="s">
        <v>372</v>
      </c>
      <c r="C124" s="335">
        <f>'9.1.1. sz. mell ÖNK'!C124+'9.1.2. sz. mell ÖNK'!C123+'9.1.3. sz. mell ÖNK'!C102</f>
        <v>0</v>
      </c>
    </row>
    <row r="125" spans="1:3" ht="12" customHeight="1" x14ac:dyDescent="0.2">
      <c r="A125" s="480" t="s">
        <v>188</v>
      </c>
      <c r="B125" s="168" t="s">
        <v>371</v>
      </c>
      <c r="C125" s="335">
        <f>'9.1.1. sz. mell ÖNK'!C125+'9.1.2. sz. mell ÖNK'!C124+'9.1.3. sz. mell ÖNK'!C103</f>
        <v>0</v>
      </c>
    </row>
    <row r="126" spans="1:3" ht="12" customHeight="1" x14ac:dyDescent="0.2">
      <c r="A126" s="480" t="s">
        <v>364</v>
      </c>
      <c r="B126" s="168" t="s">
        <v>359</v>
      </c>
      <c r="C126" s="335">
        <f>'9.1.1. sz. mell ÖNK'!C126+'9.1.2. sz. mell ÖNK'!C125+'9.1.3. sz. mell ÖNK'!C104</f>
        <v>0</v>
      </c>
    </row>
    <row r="127" spans="1:3" ht="12" customHeight="1" x14ac:dyDescent="0.2">
      <c r="A127" s="480" t="s">
        <v>365</v>
      </c>
      <c r="B127" s="168" t="s">
        <v>370</v>
      </c>
      <c r="C127" s="335">
        <f>'9.1.1. sz. mell ÖNK'!C127+'9.1.2. sz. mell ÖNK'!C126+'9.1.3. sz. mell ÖNK'!C105</f>
        <v>0</v>
      </c>
    </row>
    <row r="128" spans="1:3" ht="12" customHeight="1" thickBot="1" x14ac:dyDescent="0.25">
      <c r="A128" s="489" t="s">
        <v>366</v>
      </c>
      <c r="B128" s="168" t="s">
        <v>369</v>
      </c>
      <c r="C128" s="335">
        <f>'9.1.1. sz. mell ÖNK'!C128+'9.1.2. sz. mell ÖNK'!C127+'9.1.3. sz. mell ÖNK'!C106</f>
        <v>0</v>
      </c>
    </row>
    <row r="129" spans="1:11" ht="12" customHeight="1" thickBot="1" x14ac:dyDescent="0.25">
      <c r="A129" s="36" t="s">
        <v>20</v>
      </c>
      <c r="B129" s="150" t="s">
        <v>452</v>
      </c>
      <c r="C129" s="332">
        <f>+C93+C115</f>
        <v>1338481476</v>
      </c>
    </row>
    <row r="130" spans="1:11" ht="12" customHeight="1" thickBot="1" x14ac:dyDescent="0.25">
      <c r="A130" s="36" t="s">
        <v>21</v>
      </c>
      <c r="B130" s="150" t="s">
        <v>453</v>
      </c>
      <c r="C130" s="332">
        <f>+C131+C132+C133</f>
        <v>3532000</v>
      </c>
    </row>
    <row r="131" spans="1:11" s="117" customFormat="1" ht="12" customHeight="1" x14ac:dyDescent="0.2">
      <c r="A131" s="480" t="s">
        <v>268</v>
      </c>
      <c r="B131" s="9" t="s">
        <v>519</v>
      </c>
      <c r="C131" s="299">
        <f>'9.1.1. sz. mell ÖNK'!C131+'9.1.2. sz. mell ÖNK'!C130+'9.1.3. sz. mell ÖNK'!C130</f>
        <v>3532000</v>
      </c>
    </row>
    <row r="132" spans="1:11" ht="12" customHeight="1" x14ac:dyDescent="0.2">
      <c r="A132" s="480" t="s">
        <v>269</v>
      </c>
      <c r="B132" s="9" t="s">
        <v>461</v>
      </c>
      <c r="C132" s="299">
        <f>'9.1.1. sz. mell ÖNK'!C132+'9.1.2. sz. mell ÖNK'!C131+'9.1.3. sz. mell ÖNK'!C131</f>
        <v>0</v>
      </c>
    </row>
    <row r="133" spans="1:11" ht="12" customHeight="1" thickBot="1" x14ac:dyDescent="0.25">
      <c r="A133" s="489" t="s">
        <v>270</v>
      </c>
      <c r="B133" s="7" t="s">
        <v>518</v>
      </c>
      <c r="C133" s="299">
        <f>'9.1.1. sz. mell ÖNK'!C133+'9.1.2. sz. mell ÖNK'!C132+'9.1.3. sz. mell ÖNK'!C132</f>
        <v>0</v>
      </c>
    </row>
    <row r="134" spans="1:11" ht="12" customHeight="1" thickBot="1" x14ac:dyDescent="0.25">
      <c r="A134" s="36" t="s">
        <v>22</v>
      </c>
      <c r="B134" s="150" t="s">
        <v>454</v>
      </c>
      <c r="C134" s="332">
        <f>+C135+C136+C137+C138+C139+C140</f>
        <v>0</v>
      </c>
    </row>
    <row r="135" spans="1:11" ht="12" customHeight="1" x14ac:dyDescent="0.2">
      <c r="A135" s="480" t="s">
        <v>93</v>
      </c>
      <c r="B135" s="9" t="s">
        <v>463</v>
      </c>
      <c r="C135" s="299">
        <f>'9.1.1. sz. mell ÖNK'!C135+'9.1.2. sz. mell ÖNK'!C134+'9.1.3. sz. mell ÖNK'!C134</f>
        <v>0</v>
      </c>
    </row>
    <row r="136" spans="1:11" ht="12" customHeight="1" x14ac:dyDescent="0.2">
      <c r="A136" s="480" t="s">
        <v>94</v>
      </c>
      <c r="B136" s="9" t="s">
        <v>455</v>
      </c>
      <c r="C136" s="299">
        <f>'9.1.1. sz. mell ÖNK'!C136+'9.1.2. sz. mell ÖNK'!C135+'9.1.3. sz. mell ÖNK'!C135</f>
        <v>0</v>
      </c>
    </row>
    <row r="137" spans="1:11" ht="12" customHeight="1" x14ac:dyDescent="0.2">
      <c r="A137" s="480" t="s">
        <v>95</v>
      </c>
      <c r="B137" s="9" t="s">
        <v>456</v>
      </c>
      <c r="C137" s="299">
        <f>'9.1.1. sz. mell ÖNK'!C137+'9.1.2. sz. mell ÖNK'!C136+'9.1.3. sz. mell ÖNK'!C136</f>
        <v>0</v>
      </c>
    </row>
    <row r="138" spans="1:11" ht="12" customHeight="1" x14ac:dyDescent="0.2">
      <c r="A138" s="480" t="s">
        <v>173</v>
      </c>
      <c r="B138" s="9" t="s">
        <v>517</v>
      </c>
      <c r="C138" s="299">
        <f>'9.1.1. sz. mell ÖNK'!C138+'9.1.2. sz. mell ÖNK'!C137+'9.1.3. sz. mell ÖNK'!C137</f>
        <v>0</v>
      </c>
    </row>
    <row r="139" spans="1:11" ht="12" customHeight="1" x14ac:dyDescent="0.2">
      <c r="A139" s="480" t="s">
        <v>174</v>
      </c>
      <c r="B139" s="9" t="s">
        <v>458</v>
      </c>
      <c r="C139" s="299">
        <f>'9.1.1. sz. mell ÖNK'!C139+'9.1.2. sz. mell ÖNK'!C138+'9.1.3. sz. mell ÖNK'!C138</f>
        <v>0</v>
      </c>
    </row>
    <row r="140" spans="1:11" s="117" customFormat="1" ht="12" customHeight="1" thickBot="1" x14ac:dyDescent="0.25">
      <c r="A140" s="489" t="s">
        <v>175</v>
      </c>
      <c r="B140" s="7" t="s">
        <v>459</v>
      </c>
      <c r="C140" s="299">
        <f>'9.1.1. sz. mell ÖNK'!C140+'9.1.2. sz. mell ÖNK'!C139+'9.1.3. sz. mell ÖNK'!C139</f>
        <v>0</v>
      </c>
    </row>
    <row r="141" spans="1:11" ht="12" customHeight="1" thickBot="1" x14ac:dyDescent="0.25">
      <c r="A141" s="36" t="s">
        <v>23</v>
      </c>
      <c r="B141" s="150" t="s">
        <v>545</v>
      </c>
      <c r="C141" s="338">
        <f>+C142+C143+C145+C146+C144</f>
        <v>507106283</v>
      </c>
      <c r="K141" s="281"/>
    </row>
    <row r="142" spans="1:11" x14ac:dyDescent="0.2">
      <c r="A142" s="480" t="s">
        <v>96</v>
      </c>
      <c r="B142" s="9" t="s">
        <v>374</v>
      </c>
      <c r="C142" s="299">
        <f>'9.1.1. sz. mell ÖNK'!C142+'9.1.2. sz. mell ÖNK'!C141+'9.1.3. sz. mell ÖNK'!C141</f>
        <v>0</v>
      </c>
    </row>
    <row r="143" spans="1:11" ht="12" customHeight="1" x14ac:dyDescent="0.2">
      <c r="A143" s="480" t="s">
        <v>97</v>
      </c>
      <c r="B143" s="9" t="s">
        <v>375</v>
      </c>
      <c r="C143" s="299">
        <f>'9.1.1. sz. mell ÖNK'!C143+'9.1.2. sz. mell ÖNK'!C142+'9.1.3. sz. mell ÖNK'!C142</f>
        <v>18143148</v>
      </c>
    </row>
    <row r="144" spans="1:11" ht="12" customHeight="1" x14ac:dyDescent="0.2">
      <c r="A144" s="480" t="s">
        <v>288</v>
      </c>
      <c r="B144" s="9" t="s">
        <v>544</v>
      </c>
      <c r="C144" s="299">
        <f>'9.1.1. sz. mell ÖNK'!C144+'9.1.2. sz. mell ÖNK'!C143+'9.1.3. sz. mell ÖNK'!C143</f>
        <v>488009846</v>
      </c>
    </row>
    <row r="145" spans="1:3" s="117" customFormat="1" ht="12" customHeight="1" x14ac:dyDescent="0.2">
      <c r="A145" s="480" t="s">
        <v>289</v>
      </c>
      <c r="B145" s="9" t="s">
        <v>468</v>
      </c>
      <c r="C145" s="299">
        <f>'9.1.1. sz. mell ÖNK'!C145+'9.1.2. sz. mell ÖNK'!C144+'9.1.3. sz. mell ÖNK'!C144</f>
        <v>0</v>
      </c>
    </row>
    <row r="146" spans="1:3" s="117" customFormat="1" ht="12" customHeight="1" thickBot="1" x14ac:dyDescent="0.25">
      <c r="A146" s="489" t="s">
        <v>290</v>
      </c>
      <c r="B146" s="7" t="s">
        <v>394</v>
      </c>
      <c r="C146" s="299">
        <f>'9.1.1. sz. mell ÖNK'!C146+'9.1.2. sz. mell ÖNK'!C145+'9.1.3. sz. mell ÖNK'!C145</f>
        <v>953289</v>
      </c>
    </row>
    <row r="147" spans="1:3" s="117" customFormat="1" ht="12" customHeight="1" thickBot="1" x14ac:dyDescent="0.25">
      <c r="A147" s="36" t="s">
        <v>24</v>
      </c>
      <c r="B147" s="150" t="s">
        <v>469</v>
      </c>
      <c r="C147" s="341">
        <f>+C148+C149+C150+C151+C152</f>
        <v>0</v>
      </c>
    </row>
    <row r="148" spans="1:3" s="117" customFormat="1" ht="12" customHeight="1" x14ac:dyDescent="0.2">
      <c r="A148" s="480" t="s">
        <v>98</v>
      </c>
      <c r="B148" s="9" t="s">
        <v>464</v>
      </c>
      <c r="C148" s="299">
        <f>'9.1.1. sz. mell ÖNK'!C148+'9.1.2. sz. mell ÖNK'!C147+'9.1.3. sz. mell ÖNK'!C147</f>
        <v>0</v>
      </c>
    </row>
    <row r="149" spans="1:3" s="117" customFormat="1" ht="12" customHeight="1" x14ac:dyDescent="0.2">
      <c r="A149" s="480" t="s">
        <v>99</v>
      </c>
      <c r="B149" s="9" t="s">
        <v>471</v>
      </c>
      <c r="C149" s="299">
        <f>'9.1.1. sz. mell ÖNK'!C149+'9.1.2. sz. mell ÖNK'!C148+'9.1.3. sz. mell ÖNK'!C148</f>
        <v>0</v>
      </c>
    </row>
    <row r="150" spans="1:3" s="117" customFormat="1" ht="12" customHeight="1" x14ac:dyDescent="0.2">
      <c r="A150" s="480" t="s">
        <v>300</v>
      </c>
      <c r="B150" s="9" t="s">
        <v>466</v>
      </c>
      <c r="C150" s="299">
        <f>'9.1.1. sz. mell ÖNK'!C150+'9.1.2. sz. mell ÖNK'!C149+'9.1.3. sz. mell ÖNK'!C149</f>
        <v>0</v>
      </c>
    </row>
    <row r="151" spans="1:3" s="117" customFormat="1" ht="12" customHeight="1" x14ac:dyDescent="0.2">
      <c r="A151" s="480" t="s">
        <v>301</v>
      </c>
      <c r="B151" s="9" t="s">
        <v>520</v>
      </c>
      <c r="C151" s="299">
        <f>'9.1.1. sz. mell ÖNK'!C151+'9.1.2. sz. mell ÖNK'!C150+'9.1.3. sz. mell ÖNK'!C150</f>
        <v>0</v>
      </c>
    </row>
    <row r="152" spans="1:3" ht="12.75" customHeight="1" thickBot="1" x14ac:dyDescent="0.25">
      <c r="A152" s="489" t="s">
        <v>470</v>
      </c>
      <c r="B152" s="7" t="s">
        <v>473</v>
      </c>
      <c r="C152" s="301">
        <f>'9.1.1. sz. mell ÖNK'!C152+'9.1.2. sz. mell ÖNK'!C151+'9.1.3. sz. mell ÖNK'!C151</f>
        <v>0</v>
      </c>
    </row>
    <row r="153" spans="1:3" ht="12.75" customHeight="1" thickBot="1" x14ac:dyDescent="0.25">
      <c r="A153" s="541" t="s">
        <v>25</v>
      </c>
      <c r="B153" s="150" t="s">
        <v>474</v>
      </c>
      <c r="C153" s="583">
        <f>'9.1.1. sz. mell ÖNK'!C153+'9.1.2. sz. mell ÖNK'!C152+'9.1.3. sz. mell ÖNK'!C152</f>
        <v>0</v>
      </c>
    </row>
    <row r="154" spans="1:3" ht="12.75" customHeight="1" thickBot="1" x14ac:dyDescent="0.25">
      <c r="A154" s="582" t="s">
        <v>26</v>
      </c>
      <c r="B154" s="577" t="s">
        <v>475</v>
      </c>
      <c r="C154" s="300">
        <f>'9.1.1. sz. mell ÖNK'!C154+'9.1.2. sz. mell ÖNK'!C153+'9.1.3. sz. mell ÖNK'!C153</f>
        <v>0</v>
      </c>
    </row>
    <row r="155" spans="1:3" ht="12" customHeight="1" thickBot="1" x14ac:dyDescent="0.25">
      <c r="A155" s="36" t="s">
        <v>27</v>
      </c>
      <c r="B155" s="150" t="s">
        <v>477</v>
      </c>
      <c r="C155" s="471">
        <f>+C130+C134+C141+C147+C153+C154</f>
        <v>510638283</v>
      </c>
    </row>
    <row r="156" spans="1:3" ht="15" customHeight="1" thickBot="1" x14ac:dyDescent="0.25">
      <c r="A156" s="491" t="s">
        <v>28</v>
      </c>
      <c r="B156" s="423" t="s">
        <v>476</v>
      </c>
      <c r="C156" s="471">
        <f>+C129+C155</f>
        <v>1849119759</v>
      </c>
    </row>
    <row r="157" spans="1:3" ht="13.5" thickBot="1" x14ac:dyDescent="0.25">
      <c r="A157" s="431"/>
      <c r="B157" s="432"/>
      <c r="C157" s="433"/>
    </row>
    <row r="158" spans="1:3" ht="15" customHeight="1" thickBot="1" x14ac:dyDescent="0.25">
      <c r="A158" s="278" t="s">
        <v>521</v>
      </c>
      <c r="B158" s="279"/>
      <c r="C158" s="147">
        <f>'9.1.1. sz. mell ÖNK'!C158+'9.1.2. sz. mell ÖNK'!C157+'9.1.3. sz. mell ÖNK'!C157</f>
        <v>7</v>
      </c>
    </row>
    <row r="159" spans="1:3" ht="14.25" customHeight="1" thickBot="1" x14ac:dyDescent="0.25">
      <c r="A159" s="278" t="s">
        <v>204</v>
      </c>
      <c r="B159" s="279"/>
      <c r="C159" s="147">
        <f>'9.1.1. sz. mell ÖNK'!C159+'9.1.2. sz. mell ÖNK'!C158+'9.1.3. sz. mell ÖNK'!C158</f>
        <v>424</v>
      </c>
    </row>
  </sheetData>
  <sheetProtection formatCells="0"/>
  <phoneticPr fontId="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1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59"/>
  <sheetViews>
    <sheetView topLeftCell="A71" zoomScaleNormal="100" zoomScaleSheetLayoutView="130" workbookViewId="0">
      <selection activeCell="C93" sqref="C93:C156"/>
    </sheetView>
  </sheetViews>
  <sheetFormatPr defaultRowHeight="12.75" x14ac:dyDescent="0.2"/>
  <cols>
    <col min="1" max="1" width="19.5" style="434" customWidth="1"/>
    <col min="2" max="2" width="72" style="435" customWidth="1"/>
    <col min="3" max="3" width="25" style="436" customWidth="1"/>
    <col min="4" max="4" width="12" style="3" customWidth="1"/>
    <col min="5" max="5" width="20.83203125" style="3" bestFit="1" customWidth="1"/>
    <col min="6" max="6" width="17" style="3" bestFit="1" customWidth="1"/>
    <col min="7" max="16384" width="9.33203125" style="3"/>
  </cols>
  <sheetData>
    <row r="1" spans="1:5" s="2" customFormat="1" ht="16.5" customHeight="1" thickBot="1" x14ac:dyDescent="0.25">
      <c r="A1" s="255"/>
      <c r="B1" s="257"/>
      <c r="C1" s="280" t="str">
        <f>+CONCATENATE("9.1.1. melléklet a 6/",LEFT(ÖSSZEFÜGGÉSEK!A5,4),". (III. 13.) önkormányzati rendelethez")</f>
        <v>9.1.1. melléklet a 6/2017. (III. 13.) önkormányzati rendelethez</v>
      </c>
    </row>
    <row r="2" spans="1:5" s="113" customFormat="1" ht="21" customHeight="1" x14ac:dyDescent="0.2">
      <c r="A2" s="451" t="s">
        <v>63</v>
      </c>
      <c r="B2" s="393" t="s">
        <v>570</v>
      </c>
      <c r="C2" s="395" t="s">
        <v>54</v>
      </c>
    </row>
    <row r="3" spans="1:5" s="113" customFormat="1" ht="16.5" thickBot="1" x14ac:dyDescent="0.25">
      <c r="A3" s="258" t="s">
        <v>201</v>
      </c>
      <c r="B3" s="394" t="s">
        <v>433</v>
      </c>
      <c r="C3" s="540" t="s">
        <v>54</v>
      </c>
    </row>
    <row r="4" spans="1:5" s="114" customFormat="1" ht="15.95" customHeight="1" thickBot="1" x14ac:dyDescent="0.3">
      <c r="A4" s="259"/>
      <c r="B4" s="259"/>
      <c r="C4" s="260" t="s">
        <v>578</v>
      </c>
    </row>
    <row r="5" spans="1:5" ht="13.5" thickBot="1" x14ac:dyDescent="0.25">
      <c r="A5" s="452" t="s">
        <v>203</v>
      </c>
      <c r="B5" s="261" t="s">
        <v>567</v>
      </c>
      <c r="C5" s="396" t="s">
        <v>56</v>
      </c>
    </row>
    <row r="6" spans="1:5" s="75" customFormat="1" ht="12.95" customHeight="1" thickBot="1" x14ac:dyDescent="0.25">
      <c r="A6" s="223"/>
      <c r="B6" s="224" t="s">
        <v>496</v>
      </c>
      <c r="C6" s="225" t="s">
        <v>497</v>
      </c>
    </row>
    <row r="7" spans="1:5" s="75" customFormat="1" ht="15.95" customHeight="1" thickBot="1" x14ac:dyDescent="0.25">
      <c r="A7" s="263"/>
      <c r="B7" s="264" t="s">
        <v>57</v>
      </c>
      <c r="C7" s="397"/>
    </row>
    <row r="8" spans="1:5" s="75" customFormat="1" ht="12" customHeight="1" thickBot="1" x14ac:dyDescent="0.25">
      <c r="A8" s="36" t="s">
        <v>18</v>
      </c>
      <c r="B8" s="21" t="s">
        <v>252</v>
      </c>
      <c r="C8" s="332">
        <f>+C9+C10+C11+C12+C13+C14</f>
        <v>518175431</v>
      </c>
    </row>
    <row r="9" spans="1:5" s="115" customFormat="1" ht="12" customHeight="1" x14ac:dyDescent="0.2">
      <c r="A9" s="480" t="s">
        <v>100</v>
      </c>
      <c r="B9" s="461" t="s">
        <v>253</v>
      </c>
      <c r="C9" s="335">
        <f>197093570+392430+1000000</f>
        <v>198486000</v>
      </c>
    </row>
    <row r="10" spans="1:5" s="116" customFormat="1" ht="12" customHeight="1" x14ac:dyDescent="0.2">
      <c r="A10" s="481" t="s">
        <v>101</v>
      </c>
      <c r="B10" s="462" t="s">
        <v>254</v>
      </c>
      <c r="C10" s="334">
        <f>100965317+2001818</f>
        <v>102967135</v>
      </c>
    </row>
    <row r="11" spans="1:5" s="116" customFormat="1" ht="12" customHeight="1" x14ac:dyDescent="0.2">
      <c r="A11" s="481" t="s">
        <v>102</v>
      </c>
      <c r="B11" s="462" t="s">
        <v>554</v>
      </c>
      <c r="C11" s="334">
        <f>181251535</f>
        <v>181251535</v>
      </c>
    </row>
    <row r="12" spans="1:5" s="116" customFormat="1" ht="12" customHeight="1" x14ac:dyDescent="0.2">
      <c r="A12" s="481" t="s">
        <v>103</v>
      </c>
      <c r="B12" s="462" t="s">
        <v>256</v>
      </c>
      <c r="C12" s="334">
        <v>7966320</v>
      </c>
    </row>
    <row r="13" spans="1:5" s="116" customFormat="1" ht="12" customHeight="1" x14ac:dyDescent="0.2">
      <c r="A13" s="481" t="s">
        <v>149</v>
      </c>
      <c r="B13" s="462" t="s">
        <v>508</v>
      </c>
      <c r="C13" s="334">
        <f>330783518+69337548+18143148-330783518+12422877-87480696+20000000+3329359+98000-23427359+1614100+10867464+2600000</f>
        <v>27504441</v>
      </c>
      <c r="D13" s="590" t="s">
        <v>590</v>
      </c>
      <c r="E13" s="589">
        <v>3460000</v>
      </c>
    </row>
    <row r="14" spans="1:5" s="115" customFormat="1" ht="12" customHeight="1" thickBot="1" x14ac:dyDescent="0.25">
      <c r="A14" s="482" t="s">
        <v>104</v>
      </c>
      <c r="B14" s="463" t="s">
        <v>437</v>
      </c>
      <c r="C14" s="334"/>
      <c r="D14" s="590" t="s">
        <v>591</v>
      </c>
      <c r="E14" s="589">
        <v>12760000</v>
      </c>
    </row>
    <row r="15" spans="1:5" s="115" customFormat="1" ht="12" customHeight="1" thickBot="1" x14ac:dyDescent="0.25">
      <c r="A15" s="36" t="s">
        <v>19</v>
      </c>
      <c r="B15" s="327" t="s">
        <v>257</v>
      </c>
      <c r="C15" s="332">
        <f>+C16+C17+C18+C19+C20</f>
        <v>510771741</v>
      </c>
      <c r="D15" s="590" t="s">
        <v>592</v>
      </c>
      <c r="E15" s="589">
        <v>6245112</v>
      </c>
    </row>
    <row r="16" spans="1:5" s="115" customFormat="1" ht="12" customHeight="1" x14ac:dyDescent="0.2">
      <c r="A16" s="480" t="s">
        <v>106</v>
      </c>
      <c r="B16" s="461" t="s">
        <v>258</v>
      </c>
      <c r="C16" s="335"/>
      <c r="D16" s="590" t="s">
        <v>593</v>
      </c>
      <c r="E16" s="589">
        <v>191547834</v>
      </c>
    </row>
    <row r="17" spans="1:6" s="115" customFormat="1" ht="12" customHeight="1" x14ac:dyDescent="0.2">
      <c r="A17" s="481" t="s">
        <v>107</v>
      </c>
      <c r="B17" s="462" t="s">
        <v>259</v>
      </c>
      <c r="C17" s="334"/>
      <c r="D17" s="590"/>
      <c r="E17" s="589">
        <v>103686495</v>
      </c>
    </row>
    <row r="18" spans="1:6" s="115" customFormat="1" ht="12" customHeight="1" x14ac:dyDescent="0.2">
      <c r="A18" s="481" t="s">
        <v>108</v>
      </c>
      <c r="B18" s="462" t="s">
        <v>426</v>
      </c>
      <c r="C18" s="334"/>
      <c r="D18" s="116" t="s">
        <v>594</v>
      </c>
      <c r="E18" s="589">
        <v>661200</v>
      </c>
    </row>
    <row r="19" spans="1:6" s="115" customFormat="1" ht="12" customHeight="1" x14ac:dyDescent="0.2">
      <c r="A19" s="481" t="s">
        <v>109</v>
      </c>
      <c r="B19" s="462" t="s">
        <v>427</v>
      </c>
      <c r="C19" s="334"/>
      <c r="E19" s="591">
        <f>SUM(E13:E18)</f>
        <v>318360641</v>
      </c>
    </row>
    <row r="20" spans="1:6" s="115" customFormat="1" ht="12" customHeight="1" x14ac:dyDescent="0.2">
      <c r="A20" s="481" t="s">
        <v>110</v>
      </c>
      <c r="B20" s="462" t="s">
        <v>260</v>
      </c>
      <c r="C20" s="334">
        <f>+C21+318360641-9942838+156271643</f>
        <v>510771741</v>
      </c>
      <c r="D20" s="590" t="s">
        <v>660</v>
      </c>
      <c r="E20" s="589">
        <v>1409100</v>
      </c>
    </row>
    <row r="21" spans="1:6" s="116" customFormat="1" ht="12" customHeight="1" thickBot="1" x14ac:dyDescent="0.25">
      <c r="A21" s="482" t="s">
        <v>119</v>
      </c>
      <c r="B21" s="463" t="s">
        <v>261</v>
      </c>
      <c r="C21" s="336">
        <f>19248403-1600000+28433892</f>
        <v>46082295</v>
      </c>
      <c r="D21" s="614" t="s">
        <v>661</v>
      </c>
      <c r="E21" s="589">
        <v>8403777</v>
      </c>
      <c r="F21" s="615">
        <f>+E20+E21+E22</f>
        <v>12422877</v>
      </c>
    </row>
    <row r="22" spans="1:6" s="116" customFormat="1" ht="12" customHeight="1" thickBot="1" x14ac:dyDescent="0.25">
      <c r="A22" s="36" t="s">
        <v>20</v>
      </c>
      <c r="B22" s="21" t="s">
        <v>262</v>
      </c>
      <c r="C22" s="332">
        <f>+C23+C24+C25+C26+C27</f>
        <v>445842552</v>
      </c>
      <c r="D22" s="116" t="s">
        <v>662</v>
      </c>
      <c r="E22" s="589">
        <v>2610000</v>
      </c>
    </row>
    <row r="23" spans="1:6" s="116" customFormat="1" ht="12" customHeight="1" x14ac:dyDescent="0.2">
      <c r="A23" s="480" t="s">
        <v>89</v>
      </c>
      <c r="B23" s="461" t="s">
        <v>263</v>
      </c>
      <c r="C23" s="335"/>
      <c r="E23" s="615">
        <f>SUM(E19:E22)</f>
        <v>330783518</v>
      </c>
    </row>
    <row r="24" spans="1:6" s="115" customFormat="1" ht="12" customHeight="1" x14ac:dyDescent="0.2">
      <c r="A24" s="481" t="s">
        <v>90</v>
      </c>
      <c r="B24" s="462" t="s">
        <v>264</v>
      </c>
      <c r="C24" s="334"/>
      <c r="D24" s="590" t="s">
        <v>664</v>
      </c>
      <c r="E24" s="589">
        <f>69337548+18143148</f>
        <v>87480696</v>
      </c>
    </row>
    <row r="25" spans="1:6" s="116" customFormat="1" ht="12" customHeight="1" x14ac:dyDescent="0.2">
      <c r="A25" s="481" t="s">
        <v>91</v>
      </c>
      <c r="B25" s="462" t="s">
        <v>428</v>
      </c>
      <c r="C25" s="334"/>
      <c r="E25" s="615">
        <f>E23+E24</f>
        <v>418264214</v>
      </c>
    </row>
    <row r="26" spans="1:6" s="116" customFormat="1" ht="12" customHeight="1" x14ac:dyDescent="0.2">
      <c r="A26" s="481" t="s">
        <v>92</v>
      </c>
      <c r="B26" s="462" t="s">
        <v>429</v>
      </c>
      <c r="C26" s="334"/>
    </row>
    <row r="27" spans="1:6" s="116" customFormat="1" ht="12" customHeight="1" x14ac:dyDescent="0.2">
      <c r="A27" s="481" t="s">
        <v>169</v>
      </c>
      <c r="B27" s="462" t="s">
        <v>265</v>
      </c>
      <c r="C27" s="334">
        <f>C28+9942838+15000000+291310575</f>
        <v>445842552</v>
      </c>
    </row>
    <row r="28" spans="1:6" s="116" customFormat="1" ht="12" customHeight="1" thickBot="1" x14ac:dyDescent="0.25">
      <c r="A28" s="482" t="s">
        <v>170</v>
      </c>
      <c r="B28" s="463" t="s">
        <v>266</v>
      </c>
      <c r="C28" s="336">
        <f>346457+1600000+127642682</f>
        <v>129589139</v>
      </c>
    </row>
    <row r="29" spans="1:6" s="116" customFormat="1" ht="12" customHeight="1" thickBot="1" x14ac:dyDescent="0.25">
      <c r="A29" s="36" t="s">
        <v>171</v>
      </c>
      <c r="B29" s="21" t="s">
        <v>564</v>
      </c>
      <c r="C29" s="338">
        <f>SUM(C30:C36)</f>
        <v>100558000</v>
      </c>
    </row>
    <row r="30" spans="1:6" s="116" customFormat="1" ht="12" customHeight="1" x14ac:dyDescent="0.2">
      <c r="A30" s="480" t="s">
        <v>268</v>
      </c>
      <c r="B30" s="461" t="s">
        <v>559</v>
      </c>
      <c r="C30" s="335">
        <v>13000000</v>
      </c>
    </row>
    <row r="31" spans="1:6" s="116" customFormat="1" ht="12" customHeight="1" x14ac:dyDescent="0.2">
      <c r="A31" s="481" t="s">
        <v>269</v>
      </c>
      <c r="B31" s="462" t="s">
        <v>560</v>
      </c>
      <c r="C31" s="334">
        <v>15000</v>
      </c>
    </row>
    <row r="32" spans="1:6" s="116" customFormat="1" ht="12" customHeight="1" x14ac:dyDescent="0.2">
      <c r="A32" s="481" t="s">
        <v>270</v>
      </c>
      <c r="B32" s="462" t="s">
        <v>561</v>
      </c>
      <c r="C32" s="334">
        <f>67800000-200000+3400000</f>
        <v>71000000</v>
      </c>
    </row>
    <row r="33" spans="1:6" s="116" customFormat="1" ht="12" customHeight="1" x14ac:dyDescent="0.2">
      <c r="A33" s="481" t="s">
        <v>271</v>
      </c>
      <c r="B33" s="462" t="s">
        <v>562</v>
      </c>
      <c r="C33" s="334">
        <v>40000</v>
      </c>
      <c r="D33" s="116" t="s">
        <v>608</v>
      </c>
      <c r="E33" s="588">
        <v>1600000</v>
      </c>
    </row>
    <row r="34" spans="1:6" s="116" customFormat="1" ht="12" customHeight="1" x14ac:dyDescent="0.2">
      <c r="A34" s="481" t="s">
        <v>556</v>
      </c>
      <c r="B34" s="462" t="s">
        <v>272</v>
      </c>
      <c r="C34" s="334">
        <v>13500000</v>
      </c>
      <c r="D34" s="116" t="s">
        <v>659</v>
      </c>
      <c r="E34" s="588">
        <v>3000</v>
      </c>
    </row>
    <row r="35" spans="1:6" s="116" customFormat="1" ht="12" customHeight="1" x14ac:dyDescent="0.2">
      <c r="A35" s="481" t="s">
        <v>557</v>
      </c>
      <c r="B35" s="462" t="s">
        <v>273</v>
      </c>
      <c r="C35" s="334"/>
      <c r="D35" s="116" t="s">
        <v>605</v>
      </c>
      <c r="E35" s="588">
        <v>13000000</v>
      </c>
    </row>
    <row r="36" spans="1:6" s="116" customFormat="1" ht="12" customHeight="1" thickBot="1" x14ac:dyDescent="0.25">
      <c r="A36" s="482" t="s">
        <v>558</v>
      </c>
      <c r="B36" s="566" t="s">
        <v>274</v>
      </c>
      <c r="C36" s="336">
        <f>15603000+1600000-1200000-13000000</f>
        <v>3003000</v>
      </c>
      <c r="D36" s="116" t="s">
        <v>606</v>
      </c>
      <c r="E36" s="588">
        <v>400000</v>
      </c>
    </row>
    <row r="37" spans="1:6" s="116" customFormat="1" ht="12" customHeight="1" thickBot="1" x14ac:dyDescent="0.25">
      <c r="A37" s="36" t="s">
        <v>22</v>
      </c>
      <c r="B37" s="21" t="s">
        <v>438</v>
      </c>
      <c r="C37" s="332">
        <f>SUM(C38:C48)</f>
        <v>19289060</v>
      </c>
      <c r="D37" s="116" t="s">
        <v>607</v>
      </c>
      <c r="E37" s="588">
        <v>1000000</v>
      </c>
    </row>
    <row r="38" spans="1:6" s="116" customFormat="1" ht="12" customHeight="1" x14ac:dyDescent="0.2">
      <c r="A38" s="480" t="s">
        <v>93</v>
      </c>
      <c r="B38" s="461" t="s">
        <v>277</v>
      </c>
      <c r="C38" s="335"/>
      <c r="D38" s="116" t="s">
        <v>609</v>
      </c>
    </row>
    <row r="39" spans="1:6" s="116" customFormat="1" ht="12" customHeight="1" x14ac:dyDescent="0.2">
      <c r="A39" s="481" t="s">
        <v>94</v>
      </c>
      <c r="B39" s="462" t="s">
        <v>278</v>
      </c>
      <c r="C39" s="334">
        <v>8400000</v>
      </c>
      <c r="D39" s="116" t="s">
        <v>610</v>
      </c>
      <c r="E39" s="588">
        <v>5200000</v>
      </c>
    </row>
    <row r="40" spans="1:6" s="116" customFormat="1" ht="12" customHeight="1" x14ac:dyDescent="0.2">
      <c r="A40" s="481" t="s">
        <v>95</v>
      </c>
      <c r="B40" s="462" t="s">
        <v>279</v>
      </c>
      <c r="C40" s="334">
        <v>2100000</v>
      </c>
    </row>
    <row r="41" spans="1:6" s="116" customFormat="1" ht="12" customHeight="1" x14ac:dyDescent="0.2">
      <c r="A41" s="481" t="s">
        <v>173</v>
      </c>
      <c r="B41" s="462" t="s">
        <v>280</v>
      </c>
      <c r="C41" s="334">
        <v>3500000</v>
      </c>
    </row>
    <row r="42" spans="1:6" s="116" customFormat="1" ht="12" customHeight="1" x14ac:dyDescent="0.2">
      <c r="A42" s="481" t="s">
        <v>174</v>
      </c>
      <c r="B42" s="462" t="s">
        <v>281</v>
      </c>
      <c r="C42" s="334"/>
    </row>
    <row r="43" spans="1:6" s="116" customFormat="1" ht="12" customHeight="1" x14ac:dyDescent="0.2">
      <c r="A43" s="481" t="s">
        <v>175</v>
      </c>
      <c r="B43" s="462" t="s">
        <v>282</v>
      </c>
      <c r="C43" s="334">
        <f>3405000+1884060</f>
        <v>5289060</v>
      </c>
    </row>
    <row r="44" spans="1:6" s="116" customFormat="1" ht="12" customHeight="1" x14ac:dyDescent="0.2">
      <c r="A44" s="481" t="s">
        <v>176</v>
      </c>
      <c r="B44" s="462" t="s">
        <v>283</v>
      </c>
      <c r="C44" s="334"/>
      <c r="E44" s="116" t="s">
        <v>611</v>
      </c>
    </row>
    <row r="45" spans="1:6" s="116" customFormat="1" ht="12" customHeight="1" x14ac:dyDescent="0.2">
      <c r="A45" s="481" t="s">
        <v>177</v>
      </c>
      <c r="B45" s="462" t="s">
        <v>563</v>
      </c>
      <c r="C45" s="334"/>
      <c r="E45" s="116" t="s">
        <v>612</v>
      </c>
      <c r="F45" s="588">
        <v>1100000</v>
      </c>
    </row>
    <row r="46" spans="1:6" s="116" customFormat="1" ht="12" customHeight="1" x14ac:dyDescent="0.2">
      <c r="A46" s="481" t="s">
        <v>275</v>
      </c>
      <c r="B46" s="462" t="s">
        <v>285</v>
      </c>
      <c r="C46" s="337"/>
      <c r="E46" s="116" t="s">
        <v>610</v>
      </c>
      <c r="F46" s="588">
        <v>7200000</v>
      </c>
    </row>
    <row r="47" spans="1:6" s="116" customFormat="1" ht="12" customHeight="1" x14ac:dyDescent="0.2">
      <c r="A47" s="482" t="s">
        <v>276</v>
      </c>
      <c r="B47" s="463" t="s">
        <v>440</v>
      </c>
      <c r="C47" s="447"/>
      <c r="E47" s="116" t="s">
        <v>613</v>
      </c>
      <c r="F47" s="588">
        <v>100000</v>
      </c>
    </row>
    <row r="48" spans="1:6" s="116" customFormat="1" ht="12" customHeight="1" thickBot="1" x14ac:dyDescent="0.25">
      <c r="A48" s="482" t="s">
        <v>439</v>
      </c>
      <c r="B48" s="463" t="s">
        <v>286</v>
      </c>
      <c r="C48" s="447"/>
      <c r="E48" s="116" t="s">
        <v>614</v>
      </c>
      <c r="F48" s="588"/>
    </row>
    <row r="49" spans="1:6" s="116" customFormat="1" ht="12" customHeight="1" thickBot="1" x14ac:dyDescent="0.25">
      <c r="A49" s="36" t="s">
        <v>23</v>
      </c>
      <c r="B49" s="21" t="s">
        <v>287</v>
      </c>
      <c r="C49" s="332">
        <f>SUM(C50:C54)</f>
        <v>34182000</v>
      </c>
      <c r="F49" s="588"/>
    </row>
    <row r="50" spans="1:6" s="116" customFormat="1" ht="12" customHeight="1" x14ac:dyDescent="0.2">
      <c r="A50" s="480" t="s">
        <v>96</v>
      </c>
      <c r="B50" s="461" t="s">
        <v>291</v>
      </c>
      <c r="C50" s="506"/>
      <c r="F50" s="588"/>
    </row>
    <row r="51" spans="1:6" s="116" customFormat="1" ht="12" customHeight="1" x14ac:dyDescent="0.2">
      <c r="A51" s="481" t="s">
        <v>97</v>
      </c>
      <c r="B51" s="462" t="s">
        <v>292</v>
      </c>
      <c r="C51" s="337">
        <f>27204000+6978000</f>
        <v>34182000</v>
      </c>
    </row>
    <row r="52" spans="1:6" s="116" customFormat="1" ht="12" customHeight="1" x14ac:dyDescent="0.2">
      <c r="A52" s="481" t="s">
        <v>288</v>
      </c>
      <c r="B52" s="462" t="s">
        <v>293</v>
      </c>
      <c r="C52" s="337">
        <v>0</v>
      </c>
    </row>
    <row r="53" spans="1:6" s="116" customFormat="1" ht="12" customHeight="1" x14ac:dyDescent="0.2">
      <c r="A53" s="481" t="s">
        <v>289</v>
      </c>
      <c r="B53" s="462" t="s">
        <v>294</v>
      </c>
      <c r="C53" s="337"/>
    </row>
    <row r="54" spans="1:6" s="116" customFormat="1" ht="12" customHeight="1" thickBot="1" x14ac:dyDescent="0.25">
      <c r="A54" s="482" t="s">
        <v>290</v>
      </c>
      <c r="B54" s="463" t="s">
        <v>295</v>
      </c>
      <c r="C54" s="447"/>
    </row>
    <row r="55" spans="1:6" s="116" customFormat="1" ht="12" customHeight="1" thickBot="1" x14ac:dyDescent="0.25">
      <c r="A55" s="36" t="s">
        <v>178</v>
      </c>
      <c r="B55" s="21" t="s">
        <v>296</v>
      </c>
      <c r="C55" s="332">
        <f>SUM(C56:C58)</f>
        <v>0</v>
      </c>
    </row>
    <row r="56" spans="1:6" s="116" customFormat="1" ht="12" customHeight="1" x14ac:dyDescent="0.2">
      <c r="A56" s="480" t="s">
        <v>98</v>
      </c>
      <c r="B56" s="461" t="s">
        <v>297</v>
      </c>
      <c r="C56" s="335"/>
    </row>
    <row r="57" spans="1:6" s="116" customFormat="1" ht="12" customHeight="1" x14ac:dyDescent="0.2">
      <c r="A57" s="481" t="s">
        <v>99</v>
      </c>
      <c r="B57" s="462" t="s">
        <v>430</v>
      </c>
      <c r="C57" s="334"/>
    </row>
    <row r="58" spans="1:6" s="116" customFormat="1" ht="12" customHeight="1" x14ac:dyDescent="0.2">
      <c r="A58" s="481" t="s">
        <v>300</v>
      </c>
      <c r="B58" s="462" t="s">
        <v>298</v>
      </c>
      <c r="C58" s="334"/>
    </row>
    <row r="59" spans="1:6" s="116" customFormat="1" ht="12" customHeight="1" thickBot="1" x14ac:dyDescent="0.25">
      <c r="A59" s="482" t="s">
        <v>301</v>
      </c>
      <c r="B59" s="463" t="s">
        <v>299</v>
      </c>
      <c r="C59" s="336"/>
    </row>
    <row r="60" spans="1:6" s="116" customFormat="1" ht="12" customHeight="1" thickBot="1" x14ac:dyDescent="0.25">
      <c r="A60" s="36" t="s">
        <v>25</v>
      </c>
      <c r="B60" s="327" t="s">
        <v>302</v>
      </c>
      <c r="C60" s="332">
        <f>SUM(C61:C63)</f>
        <v>810000</v>
      </c>
    </row>
    <row r="61" spans="1:6" s="116" customFormat="1" ht="12" customHeight="1" x14ac:dyDescent="0.2">
      <c r="A61" s="480" t="s">
        <v>179</v>
      </c>
      <c r="B61" s="461" t="s">
        <v>304</v>
      </c>
      <c r="C61" s="337"/>
    </row>
    <row r="62" spans="1:6" s="116" customFormat="1" ht="12" customHeight="1" x14ac:dyDescent="0.2">
      <c r="A62" s="481" t="s">
        <v>180</v>
      </c>
      <c r="B62" s="462" t="s">
        <v>431</v>
      </c>
      <c r="C62" s="337">
        <v>810000</v>
      </c>
    </row>
    <row r="63" spans="1:6" s="116" customFormat="1" ht="12" customHeight="1" x14ac:dyDescent="0.2">
      <c r="A63" s="481" t="s">
        <v>228</v>
      </c>
      <c r="B63" s="462" t="s">
        <v>305</v>
      </c>
      <c r="C63" s="337"/>
    </row>
    <row r="64" spans="1:6" s="116" customFormat="1" ht="12" customHeight="1" thickBot="1" x14ac:dyDescent="0.25">
      <c r="A64" s="482" t="s">
        <v>303</v>
      </c>
      <c r="B64" s="463" t="s">
        <v>306</v>
      </c>
      <c r="C64" s="337"/>
    </row>
    <row r="65" spans="1:3" s="116" customFormat="1" ht="12" customHeight="1" thickBot="1" x14ac:dyDescent="0.25">
      <c r="A65" s="36" t="s">
        <v>26</v>
      </c>
      <c r="B65" s="21" t="s">
        <v>307</v>
      </c>
      <c r="C65" s="338">
        <f>+C8+C15+C22+C29+C37+C49+C55+C60</f>
        <v>1629628784</v>
      </c>
    </row>
    <row r="66" spans="1:3" s="116" customFormat="1" ht="12" customHeight="1" thickBot="1" x14ac:dyDescent="0.2">
      <c r="A66" s="483" t="s">
        <v>398</v>
      </c>
      <c r="B66" s="327" t="s">
        <v>309</v>
      </c>
      <c r="C66" s="332">
        <f>SUM(C67:C69)</f>
        <v>29896000</v>
      </c>
    </row>
    <row r="67" spans="1:3" s="116" customFormat="1" ht="12" customHeight="1" x14ac:dyDescent="0.2">
      <c r="A67" s="480" t="s">
        <v>340</v>
      </c>
      <c r="B67" s="461" t="s">
        <v>310</v>
      </c>
      <c r="C67" s="337">
        <v>29896000</v>
      </c>
    </row>
    <row r="68" spans="1:3" s="116" customFormat="1" ht="12" customHeight="1" x14ac:dyDescent="0.2">
      <c r="A68" s="481" t="s">
        <v>349</v>
      </c>
      <c r="B68" s="462" t="s">
        <v>311</v>
      </c>
      <c r="C68" s="337"/>
    </row>
    <row r="69" spans="1:3" s="116" customFormat="1" ht="12" customHeight="1" thickBot="1" x14ac:dyDescent="0.25">
      <c r="A69" s="482" t="s">
        <v>350</v>
      </c>
      <c r="B69" s="464" t="s">
        <v>312</v>
      </c>
      <c r="C69" s="337"/>
    </row>
    <row r="70" spans="1:3" s="116" customFormat="1" ht="12" customHeight="1" thickBot="1" x14ac:dyDescent="0.2">
      <c r="A70" s="483" t="s">
        <v>313</v>
      </c>
      <c r="B70" s="327" t="s">
        <v>314</v>
      </c>
      <c r="C70" s="332">
        <f>SUM(C71:C74)</f>
        <v>0</v>
      </c>
    </row>
    <row r="71" spans="1:3" s="116" customFormat="1" ht="12" customHeight="1" x14ac:dyDescent="0.2">
      <c r="A71" s="480" t="s">
        <v>150</v>
      </c>
      <c r="B71" s="461" t="s">
        <v>315</v>
      </c>
      <c r="C71" s="337"/>
    </row>
    <row r="72" spans="1:3" s="116" customFormat="1" ht="12" customHeight="1" x14ac:dyDescent="0.2">
      <c r="A72" s="481" t="s">
        <v>151</v>
      </c>
      <c r="B72" s="462" t="s">
        <v>316</v>
      </c>
      <c r="C72" s="337"/>
    </row>
    <row r="73" spans="1:3" s="116" customFormat="1" ht="12" customHeight="1" x14ac:dyDescent="0.2">
      <c r="A73" s="481" t="s">
        <v>341</v>
      </c>
      <c r="B73" s="462" t="s">
        <v>317</v>
      </c>
      <c r="C73" s="337"/>
    </row>
    <row r="74" spans="1:3" s="116" customFormat="1" ht="12" customHeight="1" thickBot="1" x14ac:dyDescent="0.25">
      <c r="A74" s="482" t="s">
        <v>342</v>
      </c>
      <c r="B74" s="463" t="s">
        <v>318</v>
      </c>
      <c r="C74" s="337"/>
    </row>
    <row r="75" spans="1:3" s="116" customFormat="1" ht="12" customHeight="1" thickBot="1" x14ac:dyDescent="0.2">
      <c r="A75" s="483" t="s">
        <v>319</v>
      </c>
      <c r="B75" s="327" t="s">
        <v>320</v>
      </c>
      <c r="C75" s="332">
        <f>SUM(C76:C77)</f>
        <v>189394975</v>
      </c>
    </row>
    <row r="76" spans="1:3" s="116" customFormat="1" ht="12" customHeight="1" x14ac:dyDescent="0.2">
      <c r="A76" s="480" t="s">
        <v>343</v>
      </c>
      <c r="B76" s="461" t="s">
        <v>321</v>
      </c>
      <c r="C76" s="337">
        <f>43656007+5857500+4584738+18580456-3329359+1000000+119045633</f>
        <v>189394975</v>
      </c>
    </row>
    <row r="77" spans="1:3" s="116" customFormat="1" ht="12" customHeight="1" thickBot="1" x14ac:dyDescent="0.25">
      <c r="A77" s="482" t="s">
        <v>344</v>
      </c>
      <c r="B77" s="463" t="s">
        <v>322</v>
      </c>
      <c r="C77" s="337"/>
    </row>
    <row r="78" spans="1:3" s="115" customFormat="1" ht="12" customHeight="1" thickBot="1" x14ac:dyDescent="0.2">
      <c r="A78" s="483" t="s">
        <v>323</v>
      </c>
      <c r="B78" s="327" t="s">
        <v>324</v>
      </c>
      <c r="C78" s="332">
        <f>SUM(C79:C81)</f>
        <v>0</v>
      </c>
    </row>
    <row r="79" spans="1:3" s="116" customFormat="1" ht="12" customHeight="1" x14ac:dyDescent="0.2">
      <c r="A79" s="480" t="s">
        <v>345</v>
      </c>
      <c r="B79" s="461" t="s">
        <v>325</v>
      </c>
      <c r="C79" s="337"/>
    </row>
    <row r="80" spans="1:3" s="116" customFormat="1" ht="12" customHeight="1" x14ac:dyDescent="0.2">
      <c r="A80" s="481" t="s">
        <v>346</v>
      </c>
      <c r="B80" s="462" t="s">
        <v>326</v>
      </c>
      <c r="C80" s="337"/>
    </row>
    <row r="81" spans="1:3" s="116" customFormat="1" ht="12" customHeight="1" thickBot="1" x14ac:dyDescent="0.25">
      <c r="A81" s="482" t="s">
        <v>347</v>
      </c>
      <c r="B81" s="463" t="s">
        <v>327</v>
      </c>
      <c r="C81" s="337"/>
    </row>
    <row r="82" spans="1:3" s="116" customFormat="1" ht="12" customHeight="1" thickBot="1" x14ac:dyDescent="0.2">
      <c r="A82" s="483" t="s">
        <v>328</v>
      </c>
      <c r="B82" s="327" t="s">
        <v>348</v>
      </c>
      <c r="C82" s="332">
        <f>SUM(C83:C86)</f>
        <v>0</v>
      </c>
    </row>
    <row r="83" spans="1:3" s="116" customFormat="1" ht="12" customHeight="1" x14ac:dyDescent="0.2">
      <c r="A83" s="484" t="s">
        <v>329</v>
      </c>
      <c r="B83" s="461" t="s">
        <v>330</v>
      </c>
      <c r="C83" s="337"/>
    </row>
    <row r="84" spans="1:3" s="116" customFormat="1" ht="12" customHeight="1" x14ac:dyDescent="0.2">
      <c r="A84" s="485" t="s">
        <v>331</v>
      </c>
      <c r="B84" s="462" t="s">
        <v>332</v>
      </c>
      <c r="C84" s="337"/>
    </row>
    <row r="85" spans="1:3" s="116" customFormat="1" ht="12" customHeight="1" x14ac:dyDescent="0.2">
      <c r="A85" s="485" t="s">
        <v>333</v>
      </c>
      <c r="B85" s="462" t="s">
        <v>334</v>
      </c>
      <c r="C85" s="337"/>
    </row>
    <row r="86" spans="1:3" s="115" customFormat="1" ht="12" customHeight="1" thickBot="1" x14ac:dyDescent="0.25">
      <c r="A86" s="486" t="s">
        <v>335</v>
      </c>
      <c r="B86" s="463" t="s">
        <v>336</v>
      </c>
      <c r="C86" s="337"/>
    </row>
    <row r="87" spans="1:3" s="115" customFormat="1" ht="12" customHeight="1" thickBot="1" x14ac:dyDescent="0.2">
      <c r="A87" s="483" t="s">
        <v>337</v>
      </c>
      <c r="B87" s="327" t="s">
        <v>479</v>
      </c>
      <c r="C87" s="507"/>
    </row>
    <row r="88" spans="1:3" s="115" customFormat="1" ht="12" customHeight="1" thickBot="1" x14ac:dyDescent="0.2">
      <c r="A88" s="483" t="s">
        <v>509</v>
      </c>
      <c r="B88" s="327" t="s">
        <v>338</v>
      </c>
      <c r="C88" s="507"/>
    </row>
    <row r="89" spans="1:3" s="115" customFormat="1" ht="12" customHeight="1" thickBot="1" x14ac:dyDescent="0.2">
      <c r="A89" s="483" t="s">
        <v>510</v>
      </c>
      <c r="B89" s="468" t="s">
        <v>482</v>
      </c>
      <c r="C89" s="338">
        <f>+C66+C70+C75+C78+C82+C88+C87</f>
        <v>219290975</v>
      </c>
    </row>
    <row r="90" spans="1:3" s="115" customFormat="1" ht="12" customHeight="1" thickBot="1" x14ac:dyDescent="0.2">
      <c r="A90" s="487" t="s">
        <v>511</v>
      </c>
      <c r="B90" s="469" t="s">
        <v>512</v>
      </c>
      <c r="C90" s="338">
        <f>+C65+C89</f>
        <v>1848919759</v>
      </c>
    </row>
    <row r="91" spans="1:3" s="116" customFormat="1" ht="15" customHeight="1" thickBot="1" x14ac:dyDescent="0.25">
      <c r="A91" s="269"/>
      <c r="B91" s="270"/>
      <c r="C91" s="402"/>
    </row>
    <row r="92" spans="1:3" s="75" customFormat="1" ht="16.5" customHeight="1" thickBot="1" x14ac:dyDescent="0.25">
      <c r="A92" s="273"/>
      <c r="B92" s="274" t="s">
        <v>58</v>
      </c>
      <c r="C92" s="404"/>
    </row>
    <row r="93" spans="1:3" s="117" customFormat="1" ht="12" customHeight="1" thickBot="1" x14ac:dyDescent="0.25">
      <c r="A93" s="453" t="s">
        <v>18</v>
      </c>
      <c r="B93" s="31" t="s">
        <v>516</v>
      </c>
      <c r="C93" s="331">
        <f>+C94+C95+C96+C98+C99+C112</f>
        <v>743179698</v>
      </c>
    </row>
    <row r="94" spans="1:3" ht="12" customHeight="1" x14ac:dyDescent="0.2">
      <c r="A94" s="488" t="s">
        <v>100</v>
      </c>
      <c r="B94" s="10" t="s">
        <v>49</v>
      </c>
      <c r="C94" s="333">
        <f>277043813+1233000-200000+3492126+38704641</f>
        <v>320273580</v>
      </c>
    </row>
    <row r="95" spans="1:3" ht="12" customHeight="1" x14ac:dyDescent="0.2">
      <c r="A95" s="481" t="s">
        <v>101</v>
      </c>
      <c r="B95" s="8" t="s">
        <v>181</v>
      </c>
      <c r="C95" s="334">
        <f>36145397+271260+16592+913468+10414638</f>
        <v>47761355</v>
      </c>
    </row>
    <row r="96" spans="1:3" ht="12" customHeight="1" x14ac:dyDescent="0.2">
      <c r="A96" s="481" t="s">
        <v>102</v>
      </c>
      <c r="B96" s="8" t="s">
        <v>142</v>
      </c>
      <c r="C96" s="336">
        <f>139945025+13203000+1500000+828900+28618274+24028298-409475+5778877+2487960+96530212</f>
        <v>312511071</v>
      </c>
    </row>
    <row r="97" spans="1:5" ht="12" customHeight="1" x14ac:dyDescent="0.2">
      <c r="A97" s="481"/>
      <c r="B97" s="616" t="s">
        <v>673</v>
      </c>
      <c r="C97" s="336">
        <v>1200000</v>
      </c>
    </row>
    <row r="98" spans="1:5" ht="12" customHeight="1" x14ac:dyDescent="0.2">
      <c r="A98" s="481" t="s">
        <v>103</v>
      </c>
      <c r="B98" s="11" t="s">
        <v>182</v>
      </c>
      <c r="C98" s="336">
        <f>24760000-200000</f>
        <v>24560000</v>
      </c>
    </row>
    <row r="99" spans="1:5" ht="12" customHeight="1" x14ac:dyDescent="0.2">
      <c r="A99" s="481" t="s">
        <v>114</v>
      </c>
      <c r="B99" s="19" t="s">
        <v>183</v>
      </c>
      <c r="C99" s="336">
        <f>SUM(C100:C111)</f>
        <v>31309475</v>
      </c>
    </row>
    <row r="100" spans="1:5" ht="12" customHeight="1" x14ac:dyDescent="0.2">
      <c r="A100" s="481" t="s">
        <v>104</v>
      </c>
      <c r="B100" s="8" t="s">
        <v>513</v>
      </c>
      <c r="C100" s="336">
        <v>409475</v>
      </c>
    </row>
    <row r="101" spans="1:5" ht="12" customHeight="1" x14ac:dyDescent="0.2">
      <c r="A101" s="481" t="s">
        <v>105</v>
      </c>
      <c r="B101" s="167" t="s">
        <v>445</v>
      </c>
      <c r="C101" s="336"/>
    </row>
    <row r="102" spans="1:5" ht="12" customHeight="1" x14ac:dyDescent="0.2">
      <c r="A102" s="481" t="s">
        <v>115</v>
      </c>
      <c r="B102" s="167" t="s">
        <v>444</v>
      </c>
      <c r="C102" s="336"/>
    </row>
    <row r="103" spans="1:5" ht="12" customHeight="1" x14ac:dyDescent="0.2">
      <c r="A103" s="481" t="s">
        <v>116</v>
      </c>
      <c r="B103" s="167" t="s">
        <v>354</v>
      </c>
      <c r="C103" s="336"/>
      <c r="E103" s="592"/>
    </row>
    <row r="104" spans="1:5" ht="12" customHeight="1" x14ac:dyDescent="0.2">
      <c r="A104" s="481" t="s">
        <v>117</v>
      </c>
      <c r="B104" s="168" t="s">
        <v>355</v>
      </c>
      <c r="C104" s="336"/>
      <c r="D104" s="3" t="s">
        <v>615</v>
      </c>
      <c r="E104" s="592"/>
    </row>
    <row r="105" spans="1:5" ht="12" customHeight="1" x14ac:dyDescent="0.2">
      <c r="A105" s="481" t="s">
        <v>118</v>
      </c>
      <c r="B105" s="168" t="s">
        <v>356</v>
      </c>
      <c r="C105" s="336"/>
      <c r="D105" s="3" t="s">
        <v>602</v>
      </c>
      <c r="E105" s="592">
        <v>100000</v>
      </c>
    </row>
    <row r="106" spans="1:5" ht="12" customHeight="1" x14ac:dyDescent="0.2">
      <c r="A106" s="481" t="s">
        <v>120</v>
      </c>
      <c r="B106" s="167" t="s">
        <v>357</v>
      </c>
      <c r="C106" s="336">
        <v>1600000</v>
      </c>
      <c r="D106" s="3" t="s">
        <v>595</v>
      </c>
      <c r="E106" s="592">
        <v>1500000</v>
      </c>
    </row>
    <row r="107" spans="1:5" ht="12" customHeight="1" x14ac:dyDescent="0.2">
      <c r="A107" s="481" t="s">
        <v>184</v>
      </c>
      <c r="B107" s="167" t="s">
        <v>358</v>
      </c>
      <c r="C107" s="336"/>
      <c r="D107" s="3" t="s">
        <v>596</v>
      </c>
      <c r="E107" s="592"/>
    </row>
    <row r="108" spans="1:5" ht="12" customHeight="1" x14ac:dyDescent="0.2">
      <c r="A108" s="481" t="s">
        <v>352</v>
      </c>
      <c r="B108" s="168" t="s">
        <v>359</v>
      </c>
      <c r="C108" s="336">
        <v>2000000</v>
      </c>
      <c r="D108" s="3" t="s">
        <v>597</v>
      </c>
      <c r="E108" s="592"/>
    </row>
    <row r="109" spans="1:5" ht="12" customHeight="1" x14ac:dyDescent="0.2">
      <c r="A109" s="489" t="s">
        <v>353</v>
      </c>
      <c r="B109" s="169" t="s">
        <v>360</v>
      </c>
      <c r="C109" s="336"/>
      <c r="D109" s="3" t="s">
        <v>598</v>
      </c>
      <c r="E109" s="592"/>
    </row>
    <row r="110" spans="1:5" ht="12" customHeight="1" x14ac:dyDescent="0.2">
      <c r="A110" s="481" t="s">
        <v>442</v>
      </c>
      <c r="B110" s="169" t="s">
        <v>361</v>
      </c>
      <c r="C110" s="336"/>
      <c r="E110" s="592"/>
    </row>
    <row r="111" spans="1:5" ht="12" customHeight="1" x14ac:dyDescent="0.2">
      <c r="A111" s="481" t="s">
        <v>443</v>
      </c>
      <c r="B111" s="168" t="s">
        <v>362</v>
      </c>
      <c r="C111" s="334">
        <v>27300000</v>
      </c>
      <c r="D111" s="3" t="s">
        <v>599</v>
      </c>
      <c r="E111" s="592">
        <v>2100000</v>
      </c>
    </row>
    <row r="112" spans="1:5" ht="12" customHeight="1" x14ac:dyDescent="0.2">
      <c r="A112" s="481" t="s">
        <v>447</v>
      </c>
      <c r="B112" s="11" t="s">
        <v>50</v>
      </c>
      <c r="C112" s="334">
        <f>+C113</f>
        <v>6764217</v>
      </c>
      <c r="D112" s="3" t="s">
        <v>600</v>
      </c>
      <c r="E112" s="592">
        <v>300000</v>
      </c>
    </row>
    <row r="113" spans="1:5" ht="12" customHeight="1" x14ac:dyDescent="0.2">
      <c r="A113" s="482" t="s">
        <v>448</v>
      </c>
      <c r="B113" s="8" t="s">
        <v>514</v>
      </c>
      <c r="C113" s="336">
        <f>12481564+3992430-305000-9404777</f>
        <v>6764217</v>
      </c>
      <c r="D113" s="3" t="s">
        <v>658</v>
      </c>
      <c r="E113" s="592">
        <v>200000</v>
      </c>
    </row>
    <row r="114" spans="1:5" ht="12" customHeight="1" thickBot="1" x14ac:dyDescent="0.25">
      <c r="A114" s="490" t="s">
        <v>449</v>
      </c>
      <c r="B114" s="170" t="s">
        <v>515</v>
      </c>
      <c r="C114" s="340"/>
      <c r="D114" s="3" t="s">
        <v>601</v>
      </c>
      <c r="E114" s="592">
        <v>200000</v>
      </c>
    </row>
    <row r="115" spans="1:5" ht="12" customHeight="1" thickBot="1" x14ac:dyDescent="0.25">
      <c r="A115" s="36" t="s">
        <v>19</v>
      </c>
      <c r="B115" s="30" t="s">
        <v>363</v>
      </c>
      <c r="C115" s="332">
        <f>+C116+C118+C120</f>
        <v>595101778</v>
      </c>
      <c r="D115" s="3" t="s">
        <v>603</v>
      </c>
      <c r="E115" s="592">
        <v>500000</v>
      </c>
    </row>
    <row r="116" spans="1:5" ht="12" customHeight="1" x14ac:dyDescent="0.2">
      <c r="A116" s="480" t="s">
        <v>106</v>
      </c>
      <c r="B116" s="8" t="s">
        <v>226</v>
      </c>
      <c r="C116" s="335">
        <f>59267562+2472000+5000000+22800000+332280+33500000+127642682+10000000+288382894</f>
        <v>549397418</v>
      </c>
      <c r="D116" s="3" t="s">
        <v>604</v>
      </c>
      <c r="E116" s="592">
        <v>1000000</v>
      </c>
    </row>
    <row r="117" spans="1:5" ht="12" customHeight="1" x14ac:dyDescent="0.2">
      <c r="A117" s="480" t="s">
        <v>107</v>
      </c>
      <c r="B117" s="12" t="s">
        <v>367</v>
      </c>
      <c r="C117" s="335"/>
      <c r="D117" s="3" t="s">
        <v>663</v>
      </c>
      <c r="E117" s="592">
        <v>18000000</v>
      </c>
    </row>
    <row r="118" spans="1:5" ht="12" customHeight="1" x14ac:dyDescent="0.2">
      <c r="A118" s="480" t="s">
        <v>108</v>
      </c>
      <c r="B118" s="12" t="s">
        <v>185</v>
      </c>
      <c r="C118" s="334">
        <f>1000000+15954527+15000000+13749833</f>
        <v>45704360</v>
      </c>
    </row>
    <row r="119" spans="1:5" ht="12" customHeight="1" x14ac:dyDescent="0.2">
      <c r="A119" s="480" t="s">
        <v>109</v>
      </c>
      <c r="B119" s="12" t="s">
        <v>368</v>
      </c>
      <c r="C119" s="299"/>
    </row>
    <row r="120" spans="1:5" ht="12" customHeight="1" x14ac:dyDescent="0.2">
      <c r="A120" s="480" t="s">
        <v>110</v>
      </c>
      <c r="B120" s="329" t="s">
        <v>229</v>
      </c>
      <c r="C120" s="299">
        <f>SUM(C121:C128)</f>
        <v>0</v>
      </c>
    </row>
    <row r="121" spans="1:5" ht="12" customHeight="1" x14ac:dyDescent="0.2">
      <c r="A121" s="480" t="s">
        <v>119</v>
      </c>
      <c r="B121" s="328" t="s">
        <v>432</v>
      </c>
      <c r="C121" s="299"/>
    </row>
    <row r="122" spans="1:5" ht="12" customHeight="1" x14ac:dyDescent="0.2">
      <c r="A122" s="480" t="s">
        <v>121</v>
      </c>
      <c r="B122" s="457" t="s">
        <v>373</v>
      </c>
      <c r="C122" s="299"/>
    </row>
    <row r="123" spans="1:5" ht="12" customHeight="1" x14ac:dyDescent="0.2">
      <c r="A123" s="480" t="s">
        <v>186</v>
      </c>
      <c r="B123" s="168" t="s">
        <v>356</v>
      </c>
      <c r="C123" s="299"/>
    </row>
    <row r="124" spans="1:5" ht="12" customHeight="1" x14ac:dyDescent="0.2">
      <c r="A124" s="480" t="s">
        <v>187</v>
      </c>
      <c r="B124" s="168" t="s">
        <v>372</v>
      </c>
      <c r="C124" s="299"/>
    </row>
    <row r="125" spans="1:5" ht="12" customHeight="1" x14ac:dyDescent="0.2">
      <c r="A125" s="480" t="s">
        <v>188</v>
      </c>
      <c r="B125" s="168" t="s">
        <v>371</v>
      </c>
      <c r="C125" s="299"/>
    </row>
    <row r="126" spans="1:5" ht="12" customHeight="1" x14ac:dyDescent="0.2">
      <c r="A126" s="480" t="s">
        <v>364</v>
      </c>
      <c r="B126" s="168" t="s">
        <v>359</v>
      </c>
      <c r="C126" s="299"/>
    </row>
    <row r="127" spans="1:5" ht="12" customHeight="1" x14ac:dyDescent="0.2">
      <c r="A127" s="480" t="s">
        <v>365</v>
      </c>
      <c r="B127" s="168" t="s">
        <v>370</v>
      </c>
      <c r="C127" s="299"/>
    </row>
    <row r="128" spans="1:5" ht="12" customHeight="1" thickBot="1" x14ac:dyDescent="0.25">
      <c r="A128" s="489" t="s">
        <v>366</v>
      </c>
      <c r="B128" s="168" t="s">
        <v>369</v>
      </c>
      <c r="C128" s="301"/>
    </row>
    <row r="129" spans="1:11" ht="12" customHeight="1" thickBot="1" x14ac:dyDescent="0.25">
      <c r="A129" s="36" t="s">
        <v>20</v>
      </c>
      <c r="B129" s="150" t="s">
        <v>452</v>
      </c>
      <c r="C129" s="332">
        <f>+C93+C115</f>
        <v>1338281476</v>
      </c>
    </row>
    <row r="130" spans="1:11" ht="12" customHeight="1" thickBot="1" x14ac:dyDescent="0.25">
      <c r="A130" s="36" t="s">
        <v>21</v>
      </c>
      <c r="B130" s="150" t="s">
        <v>453</v>
      </c>
      <c r="C130" s="332">
        <f>+C131+C132+C133</f>
        <v>3532000</v>
      </c>
    </row>
    <row r="131" spans="1:11" s="117" customFormat="1" ht="12" customHeight="1" x14ac:dyDescent="0.2">
      <c r="A131" s="480" t="s">
        <v>268</v>
      </c>
      <c r="B131" s="9" t="s">
        <v>519</v>
      </c>
      <c r="C131" s="299">
        <v>3532000</v>
      </c>
    </row>
    <row r="132" spans="1:11" ht="12" customHeight="1" x14ac:dyDescent="0.2">
      <c r="A132" s="480" t="s">
        <v>269</v>
      </c>
      <c r="B132" s="9" t="s">
        <v>461</v>
      </c>
      <c r="C132" s="299"/>
    </row>
    <row r="133" spans="1:11" ht="12" customHeight="1" thickBot="1" x14ac:dyDescent="0.25">
      <c r="A133" s="489" t="s">
        <v>270</v>
      </c>
      <c r="B133" s="7" t="s">
        <v>518</v>
      </c>
      <c r="C133" s="299"/>
    </row>
    <row r="134" spans="1:11" ht="12" customHeight="1" thickBot="1" x14ac:dyDescent="0.25">
      <c r="A134" s="36" t="s">
        <v>22</v>
      </c>
      <c r="B134" s="150" t="s">
        <v>454</v>
      </c>
      <c r="C134" s="332">
        <f>+C135+C136+C137+C138+C139+C140</f>
        <v>0</v>
      </c>
    </row>
    <row r="135" spans="1:11" ht="12" customHeight="1" x14ac:dyDescent="0.2">
      <c r="A135" s="480" t="s">
        <v>93</v>
      </c>
      <c r="B135" s="9" t="s">
        <v>463</v>
      </c>
      <c r="C135" s="299"/>
    </row>
    <row r="136" spans="1:11" ht="12" customHeight="1" x14ac:dyDescent="0.2">
      <c r="A136" s="480" t="s">
        <v>94</v>
      </c>
      <c r="B136" s="9" t="s">
        <v>455</v>
      </c>
      <c r="C136" s="299"/>
    </row>
    <row r="137" spans="1:11" ht="12" customHeight="1" x14ac:dyDescent="0.2">
      <c r="A137" s="480" t="s">
        <v>95</v>
      </c>
      <c r="B137" s="9" t="s">
        <v>456</v>
      </c>
      <c r="C137" s="299"/>
    </row>
    <row r="138" spans="1:11" ht="12" customHeight="1" x14ac:dyDescent="0.2">
      <c r="A138" s="480" t="s">
        <v>173</v>
      </c>
      <c r="B138" s="9" t="s">
        <v>517</v>
      </c>
      <c r="C138" s="299"/>
    </row>
    <row r="139" spans="1:11" ht="12" customHeight="1" x14ac:dyDescent="0.2">
      <c r="A139" s="480" t="s">
        <v>174</v>
      </c>
      <c r="B139" s="9" t="s">
        <v>458</v>
      </c>
      <c r="C139" s="299"/>
    </row>
    <row r="140" spans="1:11" s="117" customFormat="1" ht="12" customHeight="1" thickBot="1" x14ac:dyDescent="0.25">
      <c r="A140" s="489" t="s">
        <v>175</v>
      </c>
      <c r="B140" s="7" t="s">
        <v>459</v>
      </c>
      <c r="C140" s="299"/>
    </row>
    <row r="141" spans="1:11" ht="12" customHeight="1" thickBot="1" x14ac:dyDescent="0.25">
      <c r="A141" s="36" t="s">
        <v>23</v>
      </c>
      <c r="B141" s="150" t="s">
        <v>545</v>
      </c>
      <c r="C141" s="338">
        <f>+C142+C143+C145+C146+C144</f>
        <v>507106283</v>
      </c>
      <c r="K141" s="281"/>
    </row>
    <row r="142" spans="1:11" x14ac:dyDescent="0.2">
      <c r="A142" s="480" t="s">
        <v>96</v>
      </c>
      <c r="B142" s="9" t="s">
        <v>374</v>
      </c>
      <c r="C142" s="299"/>
    </row>
    <row r="143" spans="1:11" ht="12" customHeight="1" x14ac:dyDescent="0.2">
      <c r="A143" s="480" t="s">
        <v>97</v>
      </c>
      <c r="B143" s="9" t="s">
        <v>375</v>
      </c>
      <c r="C143" s="299">
        <v>18143148</v>
      </c>
    </row>
    <row r="144" spans="1:11" s="117" customFormat="1" ht="12" customHeight="1" x14ac:dyDescent="0.2">
      <c r="A144" s="480" t="s">
        <v>288</v>
      </c>
      <c r="B144" s="9" t="s">
        <v>544</v>
      </c>
      <c r="C144" s="299">
        <f>'9.2. sz. mell HIV'!C41+'9.3. sz. mell GAM'!C40+'9.4. sz. mell ILMKS'!C40+'9.5. sz. mell OVI'!C40+'9.6. sz. mell CSSK'!C40</f>
        <v>488009846</v>
      </c>
    </row>
    <row r="145" spans="1:6" s="117" customFormat="1" ht="12" customHeight="1" x14ac:dyDescent="0.2">
      <c r="A145" s="480" t="s">
        <v>289</v>
      </c>
      <c r="B145" s="9" t="s">
        <v>468</v>
      </c>
      <c r="C145" s="299"/>
    </row>
    <row r="146" spans="1:6" s="117" customFormat="1" ht="12" customHeight="1" thickBot="1" x14ac:dyDescent="0.25">
      <c r="A146" s="489" t="s">
        <v>290</v>
      </c>
      <c r="B146" s="7" t="s">
        <v>394</v>
      </c>
      <c r="C146" s="299">
        <v>953289</v>
      </c>
    </row>
    <row r="147" spans="1:6" s="117" customFormat="1" ht="12" customHeight="1" thickBot="1" x14ac:dyDescent="0.25">
      <c r="A147" s="36" t="s">
        <v>24</v>
      </c>
      <c r="B147" s="150" t="s">
        <v>469</v>
      </c>
      <c r="C147" s="341">
        <f>+C148+C149+C150+C151+C152</f>
        <v>0</v>
      </c>
    </row>
    <row r="148" spans="1:6" s="117" customFormat="1" ht="12" customHeight="1" x14ac:dyDescent="0.2">
      <c r="A148" s="480" t="s">
        <v>98</v>
      </c>
      <c r="B148" s="9" t="s">
        <v>464</v>
      </c>
      <c r="C148" s="299"/>
    </row>
    <row r="149" spans="1:6" s="117" customFormat="1" ht="12" customHeight="1" x14ac:dyDescent="0.2">
      <c r="A149" s="480" t="s">
        <v>99</v>
      </c>
      <c r="B149" s="9" t="s">
        <v>471</v>
      </c>
      <c r="C149" s="299"/>
    </row>
    <row r="150" spans="1:6" s="117" customFormat="1" ht="12" customHeight="1" x14ac:dyDescent="0.2">
      <c r="A150" s="480" t="s">
        <v>300</v>
      </c>
      <c r="B150" s="9" t="s">
        <v>466</v>
      </c>
      <c r="C150" s="299"/>
    </row>
    <row r="151" spans="1:6" ht="12.75" customHeight="1" x14ac:dyDescent="0.2">
      <c r="A151" s="480" t="s">
        <v>301</v>
      </c>
      <c r="B151" s="9" t="s">
        <v>520</v>
      </c>
      <c r="C151" s="299"/>
    </row>
    <row r="152" spans="1:6" ht="12.75" customHeight="1" thickBot="1" x14ac:dyDescent="0.25">
      <c r="A152" s="489" t="s">
        <v>470</v>
      </c>
      <c r="B152" s="7" t="s">
        <v>473</v>
      </c>
      <c r="C152" s="301"/>
    </row>
    <row r="153" spans="1:6" ht="12.75" customHeight="1" thickBot="1" x14ac:dyDescent="0.25">
      <c r="A153" s="541" t="s">
        <v>25</v>
      </c>
      <c r="B153" s="150" t="s">
        <v>474</v>
      </c>
      <c r="C153" s="341"/>
    </row>
    <row r="154" spans="1:6" ht="12" customHeight="1" thickBot="1" x14ac:dyDescent="0.25">
      <c r="A154" s="541" t="s">
        <v>26</v>
      </c>
      <c r="B154" s="150" t="s">
        <v>475</v>
      </c>
      <c r="C154" s="341"/>
    </row>
    <row r="155" spans="1:6" ht="15" customHeight="1" thickBot="1" x14ac:dyDescent="0.25">
      <c r="A155" s="36" t="s">
        <v>27</v>
      </c>
      <c r="B155" s="150" t="s">
        <v>477</v>
      </c>
      <c r="C155" s="471">
        <f>+C130+C134+C141+C147+C153+C154</f>
        <v>510638283</v>
      </c>
    </row>
    <row r="156" spans="1:6" ht="13.5" thickBot="1" x14ac:dyDescent="0.25">
      <c r="A156" s="491" t="s">
        <v>28</v>
      </c>
      <c r="B156" s="423" t="s">
        <v>476</v>
      </c>
      <c r="C156" s="471">
        <f>+C129+C155</f>
        <v>1848919759</v>
      </c>
      <c r="F156" s="47">
        <f>C156-C90</f>
        <v>0</v>
      </c>
    </row>
    <row r="157" spans="1:6" ht="15" customHeight="1" thickBot="1" x14ac:dyDescent="0.25">
      <c r="A157" s="431"/>
      <c r="B157" s="432"/>
      <c r="C157" s="433"/>
    </row>
    <row r="158" spans="1:6" ht="14.25" customHeight="1" thickBot="1" x14ac:dyDescent="0.25">
      <c r="A158" s="278" t="s">
        <v>521</v>
      </c>
      <c r="B158" s="279"/>
      <c r="C158" s="147">
        <v>7</v>
      </c>
    </row>
    <row r="159" spans="1:6" ht="13.5" thickBot="1" x14ac:dyDescent="0.25">
      <c r="A159" s="278" t="s">
        <v>204</v>
      </c>
      <c r="B159" s="279"/>
      <c r="C159" s="147">
        <v>424</v>
      </c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0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58"/>
  <sheetViews>
    <sheetView view="pageBreakPreview" topLeftCell="A68" zoomScale="85" zoomScaleNormal="130" zoomScaleSheetLayoutView="85" workbookViewId="0">
      <selection activeCell="C93" sqref="C93:C155"/>
    </sheetView>
  </sheetViews>
  <sheetFormatPr defaultRowHeight="12.75" x14ac:dyDescent="0.2"/>
  <cols>
    <col min="1" max="1" width="19.5" style="434" customWidth="1"/>
    <col min="2" max="2" width="72" style="435" customWidth="1"/>
    <col min="3" max="3" width="25" style="436" customWidth="1"/>
    <col min="4" max="16384" width="9.33203125" style="3"/>
  </cols>
  <sheetData>
    <row r="1" spans="1:3" s="2" customFormat="1" ht="16.5" customHeight="1" thickBot="1" x14ac:dyDescent="0.25">
      <c r="A1" s="255"/>
      <c r="B1" s="257"/>
      <c r="C1" s="280" t="str">
        <f>+CONCATENATE("9.1.2. melléklet a 6/",LEFT(ÖSSZEFÜGGÉSEK!A5,4),". (III. 13.) önkormányzati rendelethez")</f>
        <v>9.1.2. melléklet a 6/2017. (III. 13.) önkormányzati rendelethez</v>
      </c>
    </row>
    <row r="2" spans="1:3" s="113" customFormat="1" ht="21" customHeight="1" x14ac:dyDescent="0.2">
      <c r="A2" s="451" t="s">
        <v>63</v>
      </c>
      <c r="B2" s="393" t="s">
        <v>570</v>
      </c>
      <c r="C2" s="395" t="s">
        <v>54</v>
      </c>
    </row>
    <row r="3" spans="1:3" s="113" customFormat="1" ht="16.5" thickBot="1" x14ac:dyDescent="0.25">
      <c r="A3" s="258" t="s">
        <v>201</v>
      </c>
      <c r="B3" s="394" t="s">
        <v>434</v>
      </c>
      <c r="C3" s="540" t="s">
        <v>60</v>
      </c>
    </row>
    <row r="4" spans="1:3" s="114" customFormat="1" ht="15.95" customHeight="1" thickBot="1" x14ac:dyDescent="0.3">
      <c r="A4" s="259"/>
      <c r="B4" s="259"/>
      <c r="C4" s="260" t="s">
        <v>578</v>
      </c>
    </row>
    <row r="5" spans="1:3" ht="13.5" thickBot="1" x14ac:dyDescent="0.25">
      <c r="A5" s="452" t="s">
        <v>203</v>
      </c>
      <c r="B5" s="261" t="s">
        <v>567</v>
      </c>
      <c r="C5" s="396" t="s">
        <v>56</v>
      </c>
    </row>
    <row r="6" spans="1:3" s="75" customFormat="1" ht="12.95" customHeight="1" thickBot="1" x14ac:dyDescent="0.25">
      <c r="A6" s="223"/>
      <c r="B6" s="224" t="s">
        <v>496</v>
      </c>
      <c r="C6" s="225" t="s">
        <v>497</v>
      </c>
    </row>
    <row r="7" spans="1:3" s="75" customFormat="1" ht="15.95" customHeight="1" thickBot="1" x14ac:dyDescent="0.25">
      <c r="A7" s="263"/>
      <c r="B7" s="264" t="s">
        <v>57</v>
      </c>
      <c r="C7" s="397"/>
    </row>
    <row r="8" spans="1:3" s="75" customFormat="1" ht="12" customHeight="1" thickBot="1" x14ac:dyDescent="0.25">
      <c r="A8" s="36" t="s">
        <v>18</v>
      </c>
      <c r="B8" s="21" t="s">
        <v>252</v>
      </c>
      <c r="C8" s="332">
        <f>+C9+C10+C11+C12+C13+C14</f>
        <v>0</v>
      </c>
    </row>
    <row r="9" spans="1:3" s="115" customFormat="1" ht="12" customHeight="1" x14ac:dyDescent="0.2">
      <c r="A9" s="480" t="s">
        <v>100</v>
      </c>
      <c r="B9" s="461" t="s">
        <v>253</v>
      </c>
      <c r="C9" s="335"/>
    </row>
    <row r="10" spans="1:3" s="116" customFormat="1" ht="12" customHeight="1" x14ac:dyDescent="0.2">
      <c r="A10" s="481" t="s">
        <v>101</v>
      </c>
      <c r="B10" s="462" t="s">
        <v>254</v>
      </c>
      <c r="C10" s="334"/>
    </row>
    <row r="11" spans="1:3" s="116" customFormat="1" ht="12" customHeight="1" x14ac:dyDescent="0.2">
      <c r="A11" s="481" t="s">
        <v>102</v>
      </c>
      <c r="B11" s="462" t="s">
        <v>554</v>
      </c>
      <c r="C11" s="334"/>
    </row>
    <row r="12" spans="1:3" s="116" customFormat="1" ht="12" customHeight="1" x14ac:dyDescent="0.2">
      <c r="A12" s="481" t="s">
        <v>103</v>
      </c>
      <c r="B12" s="462" t="s">
        <v>256</v>
      </c>
      <c r="C12" s="334"/>
    </row>
    <row r="13" spans="1:3" s="116" customFormat="1" ht="12" customHeight="1" x14ac:dyDescent="0.2">
      <c r="A13" s="481" t="s">
        <v>149</v>
      </c>
      <c r="B13" s="462" t="s">
        <v>508</v>
      </c>
      <c r="C13" s="334"/>
    </row>
    <row r="14" spans="1:3" s="115" customFormat="1" ht="12" customHeight="1" thickBot="1" x14ac:dyDescent="0.25">
      <c r="A14" s="482" t="s">
        <v>104</v>
      </c>
      <c r="B14" s="463" t="s">
        <v>437</v>
      </c>
      <c r="C14" s="334"/>
    </row>
    <row r="15" spans="1:3" s="115" customFormat="1" ht="12" customHeight="1" thickBot="1" x14ac:dyDescent="0.25">
      <c r="A15" s="36" t="s">
        <v>19</v>
      </c>
      <c r="B15" s="327" t="s">
        <v>257</v>
      </c>
      <c r="C15" s="332">
        <f>+C16+C17+C18+C19+C20</f>
        <v>0</v>
      </c>
    </row>
    <row r="16" spans="1:3" s="115" customFormat="1" ht="12" customHeight="1" x14ac:dyDescent="0.2">
      <c r="A16" s="480" t="s">
        <v>106</v>
      </c>
      <c r="B16" s="461" t="s">
        <v>258</v>
      </c>
      <c r="C16" s="335"/>
    </row>
    <row r="17" spans="1:3" s="115" customFormat="1" ht="12" customHeight="1" x14ac:dyDescent="0.2">
      <c r="A17" s="481" t="s">
        <v>107</v>
      </c>
      <c r="B17" s="462" t="s">
        <v>259</v>
      </c>
      <c r="C17" s="334"/>
    </row>
    <row r="18" spans="1:3" s="115" customFormat="1" ht="12" customHeight="1" x14ac:dyDescent="0.2">
      <c r="A18" s="481" t="s">
        <v>108</v>
      </c>
      <c r="B18" s="462" t="s">
        <v>426</v>
      </c>
      <c r="C18" s="334"/>
    </row>
    <row r="19" spans="1:3" s="115" customFormat="1" ht="12" customHeight="1" x14ac:dyDescent="0.2">
      <c r="A19" s="481" t="s">
        <v>109</v>
      </c>
      <c r="B19" s="462" t="s">
        <v>427</v>
      </c>
      <c r="C19" s="334"/>
    </row>
    <row r="20" spans="1:3" s="115" customFormat="1" ht="12" customHeight="1" x14ac:dyDescent="0.2">
      <c r="A20" s="481" t="s">
        <v>110</v>
      </c>
      <c r="B20" s="462" t="s">
        <v>260</v>
      </c>
      <c r="C20" s="334"/>
    </row>
    <row r="21" spans="1:3" s="116" customFormat="1" ht="12" customHeight="1" thickBot="1" x14ac:dyDescent="0.25">
      <c r="A21" s="482" t="s">
        <v>119</v>
      </c>
      <c r="B21" s="463" t="s">
        <v>261</v>
      </c>
      <c r="C21" s="336"/>
    </row>
    <row r="22" spans="1:3" s="116" customFormat="1" ht="12" customHeight="1" thickBot="1" x14ac:dyDescent="0.25">
      <c r="A22" s="36" t="s">
        <v>20</v>
      </c>
      <c r="B22" s="21" t="s">
        <v>262</v>
      </c>
      <c r="C22" s="332">
        <f>+C23+C24+C25+C26+C27</f>
        <v>0</v>
      </c>
    </row>
    <row r="23" spans="1:3" s="116" customFormat="1" ht="12" customHeight="1" x14ac:dyDescent="0.2">
      <c r="A23" s="480" t="s">
        <v>89</v>
      </c>
      <c r="B23" s="461" t="s">
        <v>263</v>
      </c>
      <c r="C23" s="335"/>
    </row>
    <row r="24" spans="1:3" s="115" customFormat="1" ht="12" customHeight="1" x14ac:dyDescent="0.2">
      <c r="A24" s="481" t="s">
        <v>90</v>
      </c>
      <c r="B24" s="462" t="s">
        <v>264</v>
      </c>
      <c r="C24" s="334"/>
    </row>
    <row r="25" spans="1:3" s="116" customFormat="1" ht="12" customHeight="1" x14ac:dyDescent="0.2">
      <c r="A25" s="481" t="s">
        <v>91</v>
      </c>
      <c r="B25" s="462" t="s">
        <v>428</v>
      </c>
      <c r="C25" s="334"/>
    </row>
    <row r="26" spans="1:3" s="116" customFormat="1" ht="12" customHeight="1" x14ac:dyDescent="0.2">
      <c r="A26" s="481" t="s">
        <v>92</v>
      </c>
      <c r="B26" s="462" t="s">
        <v>429</v>
      </c>
      <c r="C26" s="334"/>
    </row>
    <row r="27" spans="1:3" s="116" customFormat="1" ht="12" customHeight="1" x14ac:dyDescent="0.2">
      <c r="A27" s="481" t="s">
        <v>169</v>
      </c>
      <c r="B27" s="462" t="s">
        <v>265</v>
      </c>
      <c r="C27" s="334"/>
    </row>
    <row r="28" spans="1:3" s="116" customFormat="1" ht="12" customHeight="1" thickBot="1" x14ac:dyDescent="0.25">
      <c r="A28" s="482" t="s">
        <v>170</v>
      </c>
      <c r="B28" s="463" t="s">
        <v>266</v>
      </c>
      <c r="C28" s="336"/>
    </row>
    <row r="29" spans="1:3" s="116" customFormat="1" ht="12" customHeight="1" thickBot="1" x14ac:dyDescent="0.25">
      <c r="A29" s="36" t="s">
        <v>171</v>
      </c>
      <c r="B29" s="21" t="s">
        <v>267</v>
      </c>
      <c r="C29" s="338">
        <f>SUM(C30:C36)</f>
        <v>200000</v>
      </c>
    </row>
    <row r="30" spans="1:3" s="116" customFormat="1" ht="12" customHeight="1" x14ac:dyDescent="0.2">
      <c r="A30" s="480" t="s">
        <v>268</v>
      </c>
      <c r="B30" s="461" t="s">
        <v>559</v>
      </c>
      <c r="C30" s="335"/>
    </row>
    <row r="31" spans="1:3" s="116" customFormat="1" ht="12" customHeight="1" x14ac:dyDescent="0.2">
      <c r="A31" s="481" t="s">
        <v>269</v>
      </c>
      <c r="B31" s="462" t="s">
        <v>560</v>
      </c>
      <c r="C31" s="334"/>
    </row>
    <row r="32" spans="1:3" s="116" customFormat="1" ht="12" customHeight="1" x14ac:dyDescent="0.2">
      <c r="A32" s="481" t="s">
        <v>270</v>
      </c>
      <c r="B32" s="462" t="s">
        <v>561</v>
      </c>
      <c r="C32" s="334">
        <v>200000</v>
      </c>
    </row>
    <row r="33" spans="1:3" s="116" customFormat="1" ht="12" customHeight="1" x14ac:dyDescent="0.2">
      <c r="A33" s="481" t="s">
        <v>271</v>
      </c>
      <c r="B33" s="462" t="s">
        <v>562</v>
      </c>
      <c r="C33" s="334"/>
    </row>
    <row r="34" spans="1:3" s="116" customFormat="1" ht="12" customHeight="1" x14ac:dyDescent="0.2">
      <c r="A34" s="481" t="s">
        <v>556</v>
      </c>
      <c r="B34" s="462" t="s">
        <v>272</v>
      </c>
      <c r="C34" s="334"/>
    </row>
    <row r="35" spans="1:3" s="116" customFormat="1" ht="12" customHeight="1" x14ac:dyDescent="0.2">
      <c r="A35" s="481" t="s">
        <v>557</v>
      </c>
      <c r="B35" s="462" t="s">
        <v>273</v>
      </c>
      <c r="C35" s="334"/>
    </row>
    <row r="36" spans="1:3" s="116" customFormat="1" ht="12" customHeight="1" thickBot="1" x14ac:dyDescent="0.25">
      <c r="A36" s="482" t="s">
        <v>558</v>
      </c>
      <c r="B36" s="463" t="s">
        <v>274</v>
      </c>
      <c r="C36" s="336"/>
    </row>
    <row r="37" spans="1:3" s="116" customFormat="1" ht="12" customHeight="1" thickBot="1" x14ac:dyDescent="0.25">
      <c r="A37" s="36" t="s">
        <v>22</v>
      </c>
      <c r="B37" s="21" t="s">
        <v>438</v>
      </c>
      <c r="C37" s="332">
        <f>SUM(C38:C48)</f>
        <v>0</v>
      </c>
    </row>
    <row r="38" spans="1:3" s="116" customFormat="1" ht="12" customHeight="1" x14ac:dyDescent="0.2">
      <c r="A38" s="480" t="s">
        <v>93</v>
      </c>
      <c r="B38" s="461" t="s">
        <v>277</v>
      </c>
      <c r="C38" s="335"/>
    </row>
    <row r="39" spans="1:3" s="116" customFormat="1" ht="12" customHeight="1" x14ac:dyDescent="0.2">
      <c r="A39" s="481" t="s">
        <v>94</v>
      </c>
      <c r="B39" s="462" t="s">
        <v>278</v>
      </c>
      <c r="C39" s="334"/>
    </row>
    <row r="40" spans="1:3" s="116" customFormat="1" ht="12" customHeight="1" x14ac:dyDescent="0.2">
      <c r="A40" s="481" t="s">
        <v>95</v>
      </c>
      <c r="B40" s="462" t="s">
        <v>279</v>
      </c>
      <c r="C40" s="334"/>
    </row>
    <row r="41" spans="1:3" s="116" customFormat="1" ht="12" customHeight="1" x14ac:dyDescent="0.2">
      <c r="A41" s="481" t="s">
        <v>173</v>
      </c>
      <c r="B41" s="462" t="s">
        <v>280</v>
      </c>
      <c r="C41" s="334"/>
    </row>
    <row r="42" spans="1:3" s="116" customFormat="1" ht="12" customHeight="1" x14ac:dyDescent="0.2">
      <c r="A42" s="481" t="s">
        <v>174</v>
      </c>
      <c r="B42" s="462" t="s">
        <v>281</v>
      </c>
      <c r="C42" s="334"/>
    </row>
    <row r="43" spans="1:3" s="116" customFormat="1" ht="12" customHeight="1" x14ac:dyDescent="0.2">
      <c r="A43" s="481" t="s">
        <v>175</v>
      </c>
      <c r="B43" s="462" t="s">
        <v>282</v>
      </c>
      <c r="C43" s="334"/>
    </row>
    <row r="44" spans="1:3" s="116" customFormat="1" ht="12" customHeight="1" x14ac:dyDescent="0.2">
      <c r="A44" s="481" t="s">
        <v>176</v>
      </c>
      <c r="B44" s="462" t="s">
        <v>283</v>
      </c>
      <c r="C44" s="334"/>
    </row>
    <row r="45" spans="1:3" s="116" customFormat="1" ht="12" customHeight="1" x14ac:dyDescent="0.2">
      <c r="A45" s="481" t="s">
        <v>177</v>
      </c>
      <c r="B45" s="462" t="s">
        <v>565</v>
      </c>
      <c r="C45" s="334"/>
    </row>
    <row r="46" spans="1:3" s="116" customFormat="1" ht="12" customHeight="1" x14ac:dyDescent="0.2">
      <c r="A46" s="481" t="s">
        <v>275</v>
      </c>
      <c r="B46" s="462" t="s">
        <v>285</v>
      </c>
      <c r="C46" s="337"/>
    </row>
    <row r="47" spans="1:3" s="116" customFormat="1" ht="12" customHeight="1" x14ac:dyDescent="0.2">
      <c r="A47" s="482" t="s">
        <v>276</v>
      </c>
      <c r="B47" s="463" t="s">
        <v>440</v>
      </c>
      <c r="C47" s="447"/>
    </row>
    <row r="48" spans="1:3" s="116" customFormat="1" ht="12" customHeight="1" thickBot="1" x14ac:dyDescent="0.25">
      <c r="A48" s="482" t="s">
        <v>439</v>
      </c>
      <c r="B48" s="463" t="s">
        <v>286</v>
      </c>
      <c r="C48" s="447"/>
    </row>
    <row r="49" spans="1:3" s="116" customFormat="1" ht="12" customHeight="1" thickBot="1" x14ac:dyDescent="0.25">
      <c r="A49" s="36" t="s">
        <v>23</v>
      </c>
      <c r="B49" s="21" t="s">
        <v>287</v>
      </c>
      <c r="C49" s="332">
        <f>SUM(C50:C54)</f>
        <v>0</v>
      </c>
    </row>
    <row r="50" spans="1:3" s="116" customFormat="1" ht="12" customHeight="1" x14ac:dyDescent="0.2">
      <c r="A50" s="480" t="s">
        <v>96</v>
      </c>
      <c r="B50" s="461" t="s">
        <v>291</v>
      </c>
      <c r="C50" s="506"/>
    </row>
    <row r="51" spans="1:3" s="116" customFormat="1" ht="12" customHeight="1" x14ac:dyDescent="0.2">
      <c r="A51" s="481" t="s">
        <v>97</v>
      </c>
      <c r="B51" s="462" t="s">
        <v>292</v>
      </c>
      <c r="C51" s="337"/>
    </row>
    <row r="52" spans="1:3" s="116" customFormat="1" ht="12" customHeight="1" x14ac:dyDescent="0.2">
      <c r="A52" s="481" t="s">
        <v>288</v>
      </c>
      <c r="B52" s="462" t="s">
        <v>293</v>
      </c>
      <c r="C52" s="337"/>
    </row>
    <row r="53" spans="1:3" s="116" customFormat="1" ht="12" customHeight="1" x14ac:dyDescent="0.2">
      <c r="A53" s="481" t="s">
        <v>289</v>
      </c>
      <c r="B53" s="462" t="s">
        <v>294</v>
      </c>
      <c r="C53" s="337"/>
    </row>
    <row r="54" spans="1:3" s="116" customFormat="1" ht="12" customHeight="1" thickBot="1" x14ac:dyDescent="0.25">
      <c r="A54" s="482" t="s">
        <v>290</v>
      </c>
      <c r="B54" s="463" t="s">
        <v>295</v>
      </c>
      <c r="C54" s="447"/>
    </row>
    <row r="55" spans="1:3" s="116" customFormat="1" ht="12" customHeight="1" thickBot="1" x14ac:dyDescent="0.25">
      <c r="A55" s="36" t="s">
        <v>178</v>
      </c>
      <c r="B55" s="21" t="s">
        <v>296</v>
      </c>
      <c r="C55" s="332">
        <f>SUM(C56:C58)</f>
        <v>0</v>
      </c>
    </row>
    <row r="56" spans="1:3" s="116" customFormat="1" ht="12" customHeight="1" x14ac:dyDescent="0.2">
      <c r="A56" s="480" t="s">
        <v>98</v>
      </c>
      <c r="B56" s="461" t="s">
        <v>297</v>
      </c>
      <c r="C56" s="335"/>
    </row>
    <row r="57" spans="1:3" s="116" customFormat="1" ht="12" customHeight="1" x14ac:dyDescent="0.2">
      <c r="A57" s="481" t="s">
        <v>99</v>
      </c>
      <c r="B57" s="462" t="s">
        <v>430</v>
      </c>
      <c r="C57" s="334"/>
    </row>
    <row r="58" spans="1:3" s="116" customFormat="1" ht="12" customHeight="1" x14ac:dyDescent="0.2">
      <c r="A58" s="481" t="s">
        <v>300</v>
      </c>
      <c r="B58" s="462" t="s">
        <v>298</v>
      </c>
      <c r="C58" s="334"/>
    </row>
    <row r="59" spans="1:3" s="116" customFormat="1" ht="12" customHeight="1" thickBot="1" x14ac:dyDescent="0.25">
      <c r="A59" s="482" t="s">
        <v>301</v>
      </c>
      <c r="B59" s="463" t="s">
        <v>299</v>
      </c>
      <c r="C59" s="336"/>
    </row>
    <row r="60" spans="1:3" s="116" customFormat="1" ht="12" customHeight="1" thickBot="1" x14ac:dyDescent="0.25">
      <c r="A60" s="36" t="s">
        <v>25</v>
      </c>
      <c r="B60" s="327" t="s">
        <v>302</v>
      </c>
      <c r="C60" s="332">
        <f>SUM(C61:C63)</f>
        <v>0</v>
      </c>
    </row>
    <row r="61" spans="1:3" s="116" customFormat="1" ht="12" customHeight="1" x14ac:dyDescent="0.2">
      <c r="A61" s="480" t="s">
        <v>179</v>
      </c>
      <c r="B61" s="461" t="s">
        <v>304</v>
      </c>
      <c r="C61" s="337"/>
    </row>
    <row r="62" spans="1:3" s="116" customFormat="1" ht="12" customHeight="1" x14ac:dyDescent="0.2">
      <c r="A62" s="481" t="s">
        <v>180</v>
      </c>
      <c r="B62" s="462" t="s">
        <v>431</v>
      </c>
      <c r="C62" s="337"/>
    </row>
    <row r="63" spans="1:3" s="116" customFormat="1" ht="12" customHeight="1" x14ac:dyDescent="0.2">
      <c r="A63" s="481" t="s">
        <v>228</v>
      </c>
      <c r="B63" s="462" t="s">
        <v>305</v>
      </c>
      <c r="C63" s="337"/>
    </row>
    <row r="64" spans="1:3" s="116" customFormat="1" ht="12" customHeight="1" thickBot="1" x14ac:dyDescent="0.25">
      <c r="A64" s="482" t="s">
        <v>303</v>
      </c>
      <c r="B64" s="463" t="s">
        <v>306</v>
      </c>
      <c r="C64" s="337"/>
    </row>
    <row r="65" spans="1:3" s="116" customFormat="1" ht="12" customHeight="1" thickBot="1" x14ac:dyDescent="0.25">
      <c r="A65" s="36" t="s">
        <v>26</v>
      </c>
      <c r="B65" s="21" t="s">
        <v>307</v>
      </c>
      <c r="C65" s="338">
        <f>+C8+C15+C22+C29+C37+C49+C55+C60</f>
        <v>200000</v>
      </c>
    </row>
    <row r="66" spans="1:3" s="116" customFormat="1" ht="12" customHeight="1" thickBot="1" x14ac:dyDescent="0.2">
      <c r="A66" s="483" t="s">
        <v>398</v>
      </c>
      <c r="B66" s="327" t="s">
        <v>309</v>
      </c>
      <c r="C66" s="332">
        <f>SUM(C67:C69)</f>
        <v>0</v>
      </c>
    </row>
    <row r="67" spans="1:3" s="116" customFormat="1" ht="12" customHeight="1" x14ac:dyDescent="0.2">
      <c r="A67" s="480" t="s">
        <v>340</v>
      </c>
      <c r="B67" s="461" t="s">
        <v>310</v>
      </c>
      <c r="C67" s="337"/>
    </row>
    <row r="68" spans="1:3" s="116" customFormat="1" ht="12" customHeight="1" x14ac:dyDescent="0.2">
      <c r="A68" s="481" t="s">
        <v>349</v>
      </c>
      <c r="B68" s="462" t="s">
        <v>311</v>
      </c>
      <c r="C68" s="337"/>
    </row>
    <row r="69" spans="1:3" s="116" customFormat="1" ht="12" customHeight="1" thickBot="1" x14ac:dyDescent="0.25">
      <c r="A69" s="482" t="s">
        <v>350</v>
      </c>
      <c r="B69" s="464" t="s">
        <v>312</v>
      </c>
      <c r="C69" s="337"/>
    </row>
    <row r="70" spans="1:3" s="116" customFormat="1" ht="12" customHeight="1" thickBot="1" x14ac:dyDescent="0.2">
      <c r="A70" s="483" t="s">
        <v>313</v>
      </c>
      <c r="B70" s="327" t="s">
        <v>314</v>
      </c>
      <c r="C70" s="332">
        <f>SUM(C71:C74)</f>
        <v>0</v>
      </c>
    </row>
    <row r="71" spans="1:3" s="116" customFormat="1" ht="12" customHeight="1" x14ac:dyDescent="0.2">
      <c r="A71" s="480" t="s">
        <v>150</v>
      </c>
      <c r="B71" s="461" t="s">
        <v>315</v>
      </c>
      <c r="C71" s="337"/>
    </row>
    <row r="72" spans="1:3" s="116" customFormat="1" ht="12" customHeight="1" x14ac:dyDescent="0.2">
      <c r="A72" s="481" t="s">
        <v>151</v>
      </c>
      <c r="B72" s="462" t="s">
        <v>316</v>
      </c>
      <c r="C72" s="337"/>
    </row>
    <row r="73" spans="1:3" s="116" customFormat="1" ht="12" customHeight="1" x14ac:dyDescent="0.2">
      <c r="A73" s="481" t="s">
        <v>341</v>
      </c>
      <c r="B73" s="462" t="s">
        <v>317</v>
      </c>
      <c r="C73" s="337"/>
    </row>
    <row r="74" spans="1:3" s="116" customFormat="1" ht="12" customHeight="1" thickBot="1" x14ac:dyDescent="0.25">
      <c r="A74" s="482" t="s">
        <v>342</v>
      </c>
      <c r="B74" s="463" t="s">
        <v>318</v>
      </c>
      <c r="C74" s="337"/>
    </row>
    <row r="75" spans="1:3" s="116" customFormat="1" ht="12" customHeight="1" thickBot="1" x14ac:dyDescent="0.2">
      <c r="A75" s="483" t="s">
        <v>319</v>
      </c>
      <c r="B75" s="327" t="s">
        <v>320</v>
      </c>
      <c r="C75" s="332">
        <f>SUM(C76:C77)</f>
        <v>0</v>
      </c>
    </row>
    <row r="76" spans="1:3" s="116" customFormat="1" ht="12" customHeight="1" x14ac:dyDescent="0.2">
      <c r="A76" s="480" t="s">
        <v>343</v>
      </c>
      <c r="B76" s="461" t="s">
        <v>321</v>
      </c>
      <c r="C76" s="337"/>
    </row>
    <row r="77" spans="1:3" s="116" customFormat="1" ht="12" customHeight="1" thickBot="1" x14ac:dyDescent="0.25">
      <c r="A77" s="482" t="s">
        <v>344</v>
      </c>
      <c r="B77" s="463" t="s">
        <v>322</v>
      </c>
      <c r="C77" s="337"/>
    </row>
    <row r="78" spans="1:3" s="115" customFormat="1" ht="12" customHeight="1" thickBot="1" x14ac:dyDescent="0.2">
      <c r="A78" s="483" t="s">
        <v>323</v>
      </c>
      <c r="B78" s="327" t="s">
        <v>324</v>
      </c>
      <c r="C78" s="332">
        <f>SUM(C79:C81)</f>
        <v>0</v>
      </c>
    </row>
    <row r="79" spans="1:3" s="116" customFormat="1" ht="12" customHeight="1" x14ac:dyDescent="0.2">
      <c r="A79" s="480" t="s">
        <v>345</v>
      </c>
      <c r="B79" s="461" t="s">
        <v>325</v>
      </c>
      <c r="C79" s="337"/>
    </row>
    <row r="80" spans="1:3" s="116" customFormat="1" ht="12" customHeight="1" x14ac:dyDescent="0.2">
      <c r="A80" s="481" t="s">
        <v>346</v>
      </c>
      <c r="B80" s="462" t="s">
        <v>326</v>
      </c>
      <c r="C80" s="337"/>
    </row>
    <row r="81" spans="1:3" s="116" customFormat="1" ht="12" customHeight="1" thickBot="1" x14ac:dyDescent="0.25">
      <c r="A81" s="482" t="s">
        <v>347</v>
      </c>
      <c r="B81" s="463" t="s">
        <v>327</v>
      </c>
      <c r="C81" s="337"/>
    </row>
    <row r="82" spans="1:3" s="116" customFormat="1" ht="12" customHeight="1" thickBot="1" x14ac:dyDescent="0.2">
      <c r="A82" s="483" t="s">
        <v>328</v>
      </c>
      <c r="B82" s="327" t="s">
        <v>348</v>
      </c>
      <c r="C82" s="332">
        <f>SUM(C83:C86)</f>
        <v>0</v>
      </c>
    </row>
    <row r="83" spans="1:3" s="116" customFormat="1" ht="12" customHeight="1" x14ac:dyDescent="0.2">
      <c r="A83" s="484" t="s">
        <v>329</v>
      </c>
      <c r="B83" s="461" t="s">
        <v>330</v>
      </c>
      <c r="C83" s="337"/>
    </row>
    <row r="84" spans="1:3" s="116" customFormat="1" ht="12" customHeight="1" x14ac:dyDescent="0.2">
      <c r="A84" s="485" t="s">
        <v>331</v>
      </c>
      <c r="B84" s="462" t="s">
        <v>332</v>
      </c>
      <c r="C84" s="337"/>
    </row>
    <row r="85" spans="1:3" s="116" customFormat="1" ht="12" customHeight="1" x14ac:dyDescent="0.2">
      <c r="A85" s="485" t="s">
        <v>333</v>
      </c>
      <c r="B85" s="462" t="s">
        <v>334</v>
      </c>
      <c r="C85" s="337"/>
    </row>
    <row r="86" spans="1:3" s="115" customFormat="1" ht="12" customHeight="1" thickBot="1" x14ac:dyDescent="0.25">
      <c r="A86" s="486" t="s">
        <v>335</v>
      </c>
      <c r="B86" s="463" t="s">
        <v>336</v>
      </c>
      <c r="C86" s="337"/>
    </row>
    <row r="87" spans="1:3" s="115" customFormat="1" ht="12" customHeight="1" thickBot="1" x14ac:dyDescent="0.2">
      <c r="A87" s="483" t="s">
        <v>337</v>
      </c>
      <c r="B87" s="327" t="s">
        <v>479</v>
      </c>
      <c r="C87" s="507"/>
    </row>
    <row r="88" spans="1:3" s="115" customFormat="1" ht="12" customHeight="1" thickBot="1" x14ac:dyDescent="0.2">
      <c r="A88" s="483" t="s">
        <v>509</v>
      </c>
      <c r="B88" s="327" t="s">
        <v>338</v>
      </c>
      <c r="C88" s="507"/>
    </row>
    <row r="89" spans="1:3" s="115" customFormat="1" ht="12" customHeight="1" thickBot="1" x14ac:dyDescent="0.2">
      <c r="A89" s="483" t="s">
        <v>510</v>
      </c>
      <c r="B89" s="468" t="s">
        <v>482</v>
      </c>
      <c r="C89" s="338">
        <f>+C66+C70+C75+C78+C82+C88+C87</f>
        <v>0</v>
      </c>
    </row>
    <row r="90" spans="1:3" s="115" customFormat="1" ht="12" customHeight="1" thickBot="1" x14ac:dyDescent="0.2">
      <c r="A90" s="487" t="s">
        <v>511</v>
      </c>
      <c r="B90" s="469" t="s">
        <v>512</v>
      </c>
      <c r="C90" s="338">
        <f>+C65+C89</f>
        <v>200000</v>
      </c>
    </row>
    <row r="91" spans="1:3" s="116" customFormat="1" ht="15" customHeight="1" thickBot="1" x14ac:dyDescent="0.25">
      <c r="A91" s="269"/>
      <c r="B91" s="270"/>
      <c r="C91" s="402"/>
    </row>
    <row r="92" spans="1:3" s="75" customFormat="1" ht="16.5" customHeight="1" thickBot="1" x14ac:dyDescent="0.25">
      <c r="A92" s="273"/>
      <c r="B92" s="274" t="s">
        <v>58</v>
      </c>
      <c r="C92" s="404"/>
    </row>
    <row r="93" spans="1:3" s="117" customFormat="1" ht="12" customHeight="1" thickBot="1" x14ac:dyDescent="0.25">
      <c r="A93" s="453" t="s">
        <v>18</v>
      </c>
      <c r="B93" s="31" t="s">
        <v>516</v>
      </c>
      <c r="C93" s="331">
        <f>+C94+C95+C96+C97+C98+C111</f>
        <v>200000</v>
      </c>
    </row>
    <row r="94" spans="1:3" ht="12" customHeight="1" x14ac:dyDescent="0.2">
      <c r="A94" s="488" t="s">
        <v>100</v>
      </c>
      <c r="B94" s="10" t="s">
        <v>49</v>
      </c>
      <c r="C94" s="333"/>
    </row>
    <row r="95" spans="1:3" ht="12" customHeight="1" x14ac:dyDescent="0.2">
      <c r="A95" s="481" t="s">
        <v>101</v>
      </c>
      <c r="B95" s="8" t="s">
        <v>181</v>
      </c>
      <c r="C95" s="334"/>
    </row>
    <row r="96" spans="1:3" ht="12" customHeight="1" x14ac:dyDescent="0.2">
      <c r="A96" s="481" t="s">
        <v>102</v>
      </c>
      <c r="B96" s="8" t="s">
        <v>142</v>
      </c>
      <c r="C96" s="336"/>
    </row>
    <row r="97" spans="1:3" ht="12" customHeight="1" x14ac:dyDescent="0.2">
      <c r="A97" s="481" t="s">
        <v>103</v>
      </c>
      <c r="B97" s="11" t="s">
        <v>182</v>
      </c>
      <c r="C97" s="336">
        <v>200000</v>
      </c>
    </row>
    <row r="98" spans="1:3" ht="12" customHeight="1" x14ac:dyDescent="0.2">
      <c r="A98" s="481" t="s">
        <v>114</v>
      </c>
      <c r="B98" s="19" t="s">
        <v>183</v>
      </c>
      <c r="C98" s="336">
        <v>0</v>
      </c>
    </row>
    <row r="99" spans="1:3" ht="12" customHeight="1" x14ac:dyDescent="0.2">
      <c r="A99" s="481" t="s">
        <v>104</v>
      </c>
      <c r="B99" s="8" t="s">
        <v>513</v>
      </c>
      <c r="C99" s="336"/>
    </row>
    <row r="100" spans="1:3" ht="12" customHeight="1" x14ac:dyDescent="0.2">
      <c r="A100" s="481" t="s">
        <v>105</v>
      </c>
      <c r="B100" s="167" t="s">
        <v>445</v>
      </c>
      <c r="C100" s="336"/>
    </row>
    <row r="101" spans="1:3" ht="12" customHeight="1" x14ac:dyDescent="0.2">
      <c r="A101" s="481" t="s">
        <v>115</v>
      </c>
      <c r="B101" s="167" t="s">
        <v>444</v>
      </c>
      <c r="C101" s="336"/>
    </row>
    <row r="102" spans="1:3" ht="12" customHeight="1" x14ac:dyDescent="0.2">
      <c r="A102" s="481" t="s">
        <v>116</v>
      </c>
      <c r="B102" s="167" t="s">
        <v>354</v>
      </c>
      <c r="C102" s="336"/>
    </row>
    <row r="103" spans="1:3" ht="12" customHeight="1" x14ac:dyDescent="0.2">
      <c r="A103" s="481" t="s">
        <v>117</v>
      </c>
      <c r="B103" s="168" t="s">
        <v>355</v>
      </c>
      <c r="C103" s="336"/>
    </row>
    <row r="104" spans="1:3" ht="12" customHeight="1" x14ac:dyDescent="0.2">
      <c r="A104" s="481" t="s">
        <v>118</v>
      </c>
      <c r="B104" s="168" t="s">
        <v>356</v>
      </c>
      <c r="C104" s="336"/>
    </row>
    <row r="105" spans="1:3" ht="12" customHeight="1" x14ac:dyDescent="0.2">
      <c r="A105" s="481" t="s">
        <v>120</v>
      </c>
      <c r="B105" s="167" t="s">
        <v>357</v>
      </c>
      <c r="C105" s="336"/>
    </row>
    <row r="106" spans="1:3" ht="12" customHeight="1" x14ac:dyDescent="0.2">
      <c r="A106" s="481" t="s">
        <v>184</v>
      </c>
      <c r="B106" s="167" t="s">
        <v>358</v>
      </c>
      <c r="C106" s="336"/>
    </row>
    <row r="107" spans="1:3" ht="12" customHeight="1" x14ac:dyDescent="0.2">
      <c r="A107" s="481" t="s">
        <v>352</v>
      </c>
      <c r="B107" s="168" t="s">
        <v>359</v>
      </c>
      <c r="C107" s="336"/>
    </row>
    <row r="108" spans="1:3" ht="12" customHeight="1" x14ac:dyDescent="0.2">
      <c r="A108" s="489" t="s">
        <v>353</v>
      </c>
      <c r="B108" s="169" t="s">
        <v>360</v>
      </c>
      <c r="C108" s="336"/>
    </row>
    <row r="109" spans="1:3" ht="12" customHeight="1" x14ac:dyDescent="0.2">
      <c r="A109" s="481" t="s">
        <v>442</v>
      </c>
      <c r="B109" s="169" t="s">
        <v>361</v>
      </c>
      <c r="C109" s="336"/>
    </row>
    <row r="110" spans="1:3" ht="12" customHeight="1" x14ac:dyDescent="0.2">
      <c r="A110" s="481" t="s">
        <v>443</v>
      </c>
      <c r="B110" s="168" t="s">
        <v>362</v>
      </c>
      <c r="C110" s="334">
        <v>0</v>
      </c>
    </row>
    <row r="111" spans="1:3" ht="12" customHeight="1" x14ac:dyDescent="0.2">
      <c r="A111" s="481" t="s">
        <v>447</v>
      </c>
      <c r="B111" s="11" t="s">
        <v>50</v>
      </c>
      <c r="C111" s="334"/>
    </row>
    <row r="112" spans="1:3" ht="12" customHeight="1" x14ac:dyDescent="0.2">
      <c r="A112" s="482" t="s">
        <v>448</v>
      </c>
      <c r="B112" s="8" t="s">
        <v>514</v>
      </c>
      <c r="C112" s="336"/>
    </row>
    <row r="113" spans="1:3" ht="12" customHeight="1" thickBot="1" x14ac:dyDescent="0.25">
      <c r="A113" s="490" t="s">
        <v>449</v>
      </c>
      <c r="B113" s="170" t="s">
        <v>515</v>
      </c>
      <c r="C113" s="340"/>
    </row>
    <row r="114" spans="1:3" ht="12" customHeight="1" thickBot="1" x14ac:dyDescent="0.25">
      <c r="A114" s="36" t="s">
        <v>19</v>
      </c>
      <c r="B114" s="30" t="s">
        <v>363</v>
      </c>
      <c r="C114" s="332">
        <f>+C115+C117+C119</f>
        <v>0</v>
      </c>
    </row>
    <row r="115" spans="1:3" ht="12" customHeight="1" x14ac:dyDescent="0.2">
      <c r="A115" s="480" t="s">
        <v>106</v>
      </c>
      <c r="B115" s="8" t="s">
        <v>226</v>
      </c>
      <c r="C115" s="335"/>
    </row>
    <row r="116" spans="1:3" ht="12" customHeight="1" x14ac:dyDescent="0.2">
      <c r="A116" s="480" t="s">
        <v>107</v>
      </c>
      <c r="B116" s="12" t="s">
        <v>367</v>
      </c>
      <c r="C116" s="335"/>
    </row>
    <row r="117" spans="1:3" ht="12" customHeight="1" x14ac:dyDescent="0.2">
      <c r="A117" s="480" t="s">
        <v>108</v>
      </c>
      <c r="B117" s="12" t="s">
        <v>185</v>
      </c>
      <c r="C117" s="334"/>
    </row>
    <row r="118" spans="1:3" ht="12" customHeight="1" x14ac:dyDescent="0.2">
      <c r="A118" s="480" t="s">
        <v>109</v>
      </c>
      <c r="B118" s="12" t="s">
        <v>368</v>
      </c>
      <c r="C118" s="299"/>
    </row>
    <row r="119" spans="1:3" ht="12" customHeight="1" x14ac:dyDescent="0.2">
      <c r="A119" s="480" t="s">
        <v>110</v>
      </c>
      <c r="B119" s="329" t="s">
        <v>229</v>
      </c>
      <c r="C119" s="299"/>
    </row>
    <row r="120" spans="1:3" ht="12" customHeight="1" x14ac:dyDescent="0.2">
      <c r="A120" s="480" t="s">
        <v>119</v>
      </c>
      <c r="B120" s="328" t="s">
        <v>432</v>
      </c>
      <c r="C120" s="299"/>
    </row>
    <row r="121" spans="1:3" ht="12" customHeight="1" x14ac:dyDescent="0.2">
      <c r="A121" s="480" t="s">
        <v>121</v>
      </c>
      <c r="B121" s="457" t="s">
        <v>373</v>
      </c>
      <c r="C121" s="299"/>
    </row>
    <row r="122" spans="1:3" ht="12" customHeight="1" x14ac:dyDescent="0.2">
      <c r="A122" s="480" t="s">
        <v>186</v>
      </c>
      <c r="B122" s="168" t="s">
        <v>356</v>
      </c>
      <c r="C122" s="299"/>
    </row>
    <row r="123" spans="1:3" ht="12" customHeight="1" x14ac:dyDescent="0.2">
      <c r="A123" s="480" t="s">
        <v>187</v>
      </c>
      <c r="B123" s="168" t="s">
        <v>372</v>
      </c>
      <c r="C123" s="299"/>
    </row>
    <row r="124" spans="1:3" ht="12" customHeight="1" x14ac:dyDescent="0.2">
      <c r="A124" s="480" t="s">
        <v>188</v>
      </c>
      <c r="B124" s="168" t="s">
        <v>371</v>
      </c>
      <c r="C124" s="299"/>
    </row>
    <row r="125" spans="1:3" ht="12" customHeight="1" x14ac:dyDescent="0.2">
      <c r="A125" s="480" t="s">
        <v>364</v>
      </c>
      <c r="B125" s="168" t="s">
        <v>359</v>
      </c>
      <c r="C125" s="299"/>
    </row>
    <row r="126" spans="1:3" ht="12" customHeight="1" x14ac:dyDescent="0.2">
      <c r="A126" s="480" t="s">
        <v>365</v>
      </c>
      <c r="B126" s="168" t="s">
        <v>370</v>
      </c>
      <c r="C126" s="299"/>
    </row>
    <row r="127" spans="1:3" ht="12" customHeight="1" thickBot="1" x14ac:dyDescent="0.25">
      <c r="A127" s="489" t="s">
        <v>366</v>
      </c>
      <c r="B127" s="168" t="s">
        <v>369</v>
      </c>
      <c r="C127" s="301"/>
    </row>
    <row r="128" spans="1:3" ht="12" customHeight="1" thickBot="1" x14ac:dyDescent="0.25">
      <c r="A128" s="36" t="s">
        <v>20</v>
      </c>
      <c r="B128" s="150" t="s">
        <v>452</v>
      </c>
      <c r="C128" s="332">
        <f>+C93+C114</f>
        <v>200000</v>
      </c>
    </row>
    <row r="129" spans="1:11" ht="12" customHeight="1" thickBot="1" x14ac:dyDescent="0.25">
      <c r="A129" s="36" t="s">
        <v>21</v>
      </c>
      <c r="B129" s="150" t="s">
        <v>453</v>
      </c>
      <c r="C129" s="332">
        <f>+C130+C131+C132</f>
        <v>0</v>
      </c>
    </row>
    <row r="130" spans="1:11" s="117" customFormat="1" ht="12" customHeight="1" x14ac:dyDescent="0.2">
      <c r="A130" s="480" t="s">
        <v>268</v>
      </c>
      <c r="B130" s="9" t="s">
        <v>519</v>
      </c>
      <c r="C130" s="299"/>
    </row>
    <row r="131" spans="1:11" ht="12" customHeight="1" x14ac:dyDescent="0.2">
      <c r="A131" s="480" t="s">
        <v>269</v>
      </c>
      <c r="B131" s="9" t="s">
        <v>461</v>
      </c>
      <c r="C131" s="299"/>
    </row>
    <row r="132" spans="1:11" ht="12" customHeight="1" thickBot="1" x14ac:dyDescent="0.25">
      <c r="A132" s="489" t="s">
        <v>270</v>
      </c>
      <c r="B132" s="7" t="s">
        <v>518</v>
      </c>
      <c r="C132" s="299"/>
    </row>
    <row r="133" spans="1:11" ht="12" customHeight="1" thickBot="1" x14ac:dyDescent="0.25">
      <c r="A133" s="36" t="s">
        <v>22</v>
      </c>
      <c r="B133" s="150" t="s">
        <v>454</v>
      </c>
      <c r="C133" s="332">
        <f>+C134+C135+C136+C137+C138+C139</f>
        <v>0</v>
      </c>
    </row>
    <row r="134" spans="1:11" ht="12" customHeight="1" x14ac:dyDescent="0.2">
      <c r="A134" s="480" t="s">
        <v>93</v>
      </c>
      <c r="B134" s="9" t="s">
        <v>463</v>
      </c>
      <c r="C134" s="299"/>
    </row>
    <row r="135" spans="1:11" ht="12" customHeight="1" x14ac:dyDescent="0.2">
      <c r="A135" s="480" t="s">
        <v>94</v>
      </c>
      <c r="B135" s="9" t="s">
        <v>455</v>
      </c>
      <c r="C135" s="299"/>
    </row>
    <row r="136" spans="1:11" ht="12" customHeight="1" x14ac:dyDescent="0.2">
      <c r="A136" s="480" t="s">
        <v>95</v>
      </c>
      <c r="B136" s="9" t="s">
        <v>456</v>
      </c>
      <c r="C136" s="299"/>
    </row>
    <row r="137" spans="1:11" ht="12" customHeight="1" x14ac:dyDescent="0.2">
      <c r="A137" s="480" t="s">
        <v>173</v>
      </c>
      <c r="B137" s="9" t="s">
        <v>517</v>
      </c>
      <c r="C137" s="299"/>
    </row>
    <row r="138" spans="1:11" ht="12" customHeight="1" x14ac:dyDescent="0.2">
      <c r="A138" s="480" t="s">
        <v>174</v>
      </c>
      <c r="B138" s="9" t="s">
        <v>458</v>
      </c>
      <c r="C138" s="299"/>
    </row>
    <row r="139" spans="1:11" s="117" customFormat="1" ht="12" customHeight="1" thickBot="1" x14ac:dyDescent="0.25">
      <c r="A139" s="489" t="s">
        <v>175</v>
      </c>
      <c r="B139" s="7" t="s">
        <v>459</v>
      </c>
      <c r="C139" s="299"/>
    </row>
    <row r="140" spans="1:11" ht="12" customHeight="1" thickBot="1" x14ac:dyDescent="0.25">
      <c r="A140" s="36" t="s">
        <v>23</v>
      </c>
      <c r="B140" s="150" t="s">
        <v>545</v>
      </c>
      <c r="C140" s="338">
        <f>+C141+C142+C144+C145+C143</f>
        <v>0</v>
      </c>
      <c r="K140" s="281"/>
    </row>
    <row r="141" spans="1:11" x14ac:dyDescent="0.2">
      <c r="A141" s="480" t="s">
        <v>96</v>
      </c>
      <c r="B141" s="9" t="s">
        <v>374</v>
      </c>
      <c r="C141" s="299"/>
    </row>
    <row r="142" spans="1:11" ht="12" customHeight="1" x14ac:dyDescent="0.2">
      <c r="A142" s="480" t="s">
        <v>97</v>
      </c>
      <c r="B142" s="9" t="s">
        <v>375</v>
      </c>
      <c r="C142" s="299"/>
    </row>
    <row r="143" spans="1:11" s="117" customFormat="1" ht="12" customHeight="1" x14ac:dyDescent="0.2">
      <c r="A143" s="480" t="s">
        <v>288</v>
      </c>
      <c r="B143" s="9" t="s">
        <v>544</v>
      </c>
      <c r="C143" s="299"/>
    </row>
    <row r="144" spans="1:11" s="117" customFormat="1" ht="12" customHeight="1" x14ac:dyDescent="0.2">
      <c r="A144" s="480" t="s">
        <v>289</v>
      </c>
      <c r="B144" s="9" t="s">
        <v>468</v>
      </c>
      <c r="C144" s="299"/>
    </row>
    <row r="145" spans="1:3" s="117" customFormat="1" ht="12" customHeight="1" thickBot="1" x14ac:dyDescent="0.25">
      <c r="A145" s="489" t="s">
        <v>290</v>
      </c>
      <c r="B145" s="7" t="s">
        <v>394</v>
      </c>
      <c r="C145" s="299"/>
    </row>
    <row r="146" spans="1:3" s="117" customFormat="1" ht="12" customHeight="1" thickBot="1" x14ac:dyDescent="0.25">
      <c r="A146" s="36" t="s">
        <v>24</v>
      </c>
      <c r="B146" s="150" t="s">
        <v>469</v>
      </c>
      <c r="C146" s="341">
        <f>+C147+C148+C149+C150+C151</f>
        <v>0</v>
      </c>
    </row>
    <row r="147" spans="1:3" s="117" customFormat="1" ht="12" customHeight="1" x14ac:dyDescent="0.2">
      <c r="A147" s="480" t="s">
        <v>98</v>
      </c>
      <c r="B147" s="9" t="s">
        <v>464</v>
      </c>
      <c r="C147" s="299"/>
    </row>
    <row r="148" spans="1:3" s="117" customFormat="1" ht="12" customHeight="1" x14ac:dyDescent="0.2">
      <c r="A148" s="480" t="s">
        <v>99</v>
      </c>
      <c r="B148" s="9" t="s">
        <v>471</v>
      </c>
      <c r="C148" s="299"/>
    </row>
    <row r="149" spans="1:3" s="117" customFormat="1" ht="12" customHeight="1" x14ac:dyDescent="0.2">
      <c r="A149" s="480" t="s">
        <v>300</v>
      </c>
      <c r="B149" s="9" t="s">
        <v>466</v>
      </c>
      <c r="C149" s="299"/>
    </row>
    <row r="150" spans="1:3" ht="12.75" customHeight="1" x14ac:dyDescent="0.2">
      <c r="A150" s="480" t="s">
        <v>301</v>
      </c>
      <c r="B150" s="9" t="s">
        <v>520</v>
      </c>
      <c r="C150" s="299"/>
    </row>
    <row r="151" spans="1:3" ht="12.75" customHeight="1" thickBot="1" x14ac:dyDescent="0.25">
      <c r="A151" s="489" t="s">
        <v>470</v>
      </c>
      <c r="B151" s="7" t="s">
        <v>473</v>
      </c>
      <c r="C151" s="301"/>
    </row>
    <row r="152" spans="1:3" ht="12.75" customHeight="1" thickBot="1" x14ac:dyDescent="0.25">
      <c r="A152" s="541" t="s">
        <v>25</v>
      </c>
      <c r="B152" s="150" t="s">
        <v>474</v>
      </c>
      <c r="C152" s="341"/>
    </row>
    <row r="153" spans="1:3" ht="12" customHeight="1" thickBot="1" x14ac:dyDescent="0.25">
      <c r="A153" s="541" t="s">
        <v>26</v>
      </c>
      <c r="B153" s="150" t="s">
        <v>475</v>
      </c>
      <c r="C153" s="341"/>
    </row>
    <row r="154" spans="1:3" ht="15" customHeight="1" thickBot="1" x14ac:dyDescent="0.25">
      <c r="A154" s="36" t="s">
        <v>27</v>
      </c>
      <c r="B154" s="150" t="s">
        <v>477</v>
      </c>
      <c r="C154" s="471">
        <f>+C129+C133+C140+C146+C152+C153</f>
        <v>0</v>
      </c>
    </row>
    <row r="155" spans="1:3" ht="13.5" thickBot="1" x14ac:dyDescent="0.25">
      <c r="A155" s="491" t="s">
        <v>28</v>
      </c>
      <c r="B155" s="423" t="s">
        <v>476</v>
      </c>
      <c r="C155" s="471">
        <f>+C128+C154</f>
        <v>200000</v>
      </c>
    </row>
    <row r="156" spans="1:3" ht="15" customHeight="1" thickBot="1" x14ac:dyDescent="0.25">
      <c r="A156" s="431"/>
      <c r="B156" s="432"/>
      <c r="C156" s="433"/>
    </row>
    <row r="157" spans="1:3" ht="14.25" customHeight="1" thickBot="1" x14ac:dyDescent="0.25">
      <c r="A157" s="278" t="s">
        <v>521</v>
      </c>
      <c r="B157" s="279"/>
      <c r="C157" s="147"/>
    </row>
    <row r="158" spans="1:3" ht="13.5" thickBot="1" x14ac:dyDescent="0.25">
      <c r="A158" s="278" t="s">
        <v>204</v>
      </c>
      <c r="B158" s="279"/>
      <c r="C158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0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58"/>
  <sheetViews>
    <sheetView view="pageBreakPreview" topLeftCell="A4" zoomScale="85" zoomScaleNormal="130" zoomScaleSheetLayoutView="85" workbookViewId="0">
      <selection activeCell="C2" sqref="C2"/>
    </sheetView>
  </sheetViews>
  <sheetFormatPr defaultRowHeight="12.75" x14ac:dyDescent="0.2"/>
  <cols>
    <col min="1" max="1" width="19.5" style="434" customWidth="1"/>
    <col min="2" max="2" width="72" style="435" customWidth="1"/>
    <col min="3" max="3" width="25" style="436" customWidth="1"/>
    <col min="4" max="16384" width="9.33203125" style="3"/>
  </cols>
  <sheetData>
    <row r="1" spans="1:3" s="2" customFormat="1" ht="16.5" customHeight="1" thickBot="1" x14ac:dyDescent="0.25">
      <c r="A1" s="255"/>
      <c r="B1" s="257"/>
      <c r="C1" s="280" t="str">
        <f>+CONCATENATE("9.1.3. melléklet a 6/",LEFT(ÖSSZEFÜGGÉSEK!A5,4),". (III. 13.) önkormányzati rendelethez")</f>
        <v>9.1.3. melléklet a 6/2017. (III. 13.) önkormányzati rendelethez</v>
      </c>
    </row>
    <row r="2" spans="1:3" s="113" customFormat="1" ht="21" customHeight="1" x14ac:dyDescent="0.2">
      <c r="A2" s="451" t="s">
        <v>63</v>
      </c>
      <c r="B2" s="393" t="s">
        <v>570</v>
      </c>
      <c r="C2" s="395" t="s">
        <v>54</v>
      </c>
    </row>
    <row r="3" spans="1:3" s="113" customFormat="1" ht="16.5" thickBot="1" x14ac:dyDescent="0.25">
      <c r="A3" s="258" t="s">
        <v>201</v>
      </c>
      <c r="B3" s="394" t="s">
        <v>532</v>
      </c>
      <c r="C3" s="540" t="s">
        <v>61</v>
      </c>
    </row>
    <row r="4" spans="1:3" s="114" customFormat="1" ht="15.95" customHeight="1" thickBot="1" x14ac:dyDescent="0.3">
      <c r="A4" s="259"/>
      <c r="B4" s="259"/>
      <c r="C4" s="260" t="s">
        <v>578</v>
      </c>
    </row>
    <row r="5" spans="1:3" ht="13.5" thickBot="1" x14ac:dyDescent="0.25">
      <c r="A5" s="452" t="s">
        <v>203</v>
      </c>
      <c r="B5" s="261" t="s">
        <v>567</v>
      </c>
      <c r="C5" s="396" t="s">
        <v>56</v>
      </c>
    </row>
    <row r="6" spans="1:3" s="75" customFormat="1" ht="12.95" customHeight="1" thickBot="1" x14ac:dyDescent="0.25">
      <c r="A6" s="223"/>
      <c r="B6" s="224" t="s">
        <v>496</v>
      </c>
      <c r="C6" s="225" t="s">
        <v>497</v>
      </c>
    </row>
    <row r="7" spans="1:3" s="75" customFormat="1" ht="15.95" customHeight="1" thickBot="1" x14ac:dyDescent="0.25">
      <c r="A7" s="263"/>
      <c r="B7" s="264" t="s">
        <v>57</v>
      </c>
      <c r="C7" s="397"/>
    </row>
    <row r="8" spans="1:3" s="75" customFormat="1" ht="12" customHeight="1" thickBot="1" x14ac:dyDescent="0.25">
      <c r="A8" s="36" t="s">
        <v>18</v>
      </c>
      <c r="B8" s="21" t="s">
        <v>252</v>
      </c>
      <c r="C8" s="332">
        <f>+C9+C10+C11+C12+C13+C14</f>
        <v>0</v>
      </c>
    </row>
    <row r="9" spans="1:3" s="115" customFormat="1" ht="12" customHeight="1" x14ac:dyDescent="0.2">
      <c r="A9" s="480" t="s">
        <v>100</v>
      </c>
      <c r="B9" s="461" t="s">
        <v>253</v>
      </c>
      <c r="C9" s="335"/>
    </row>
    <row r="10" spans="1:3" s="116" customFormat="1" ht="12" customHeight="1" x14ac:dyDescent="0.2">
      <c r="A10" s="481" t="s">
        <v>101</v>
      </c>
      <c r="B10" s="462" t="s">
        <v>254</v>
      </c>
      <c r="C10" s="334"/>
    </row>
    <row r="11" spans="1:3" s="116" customFormat="1" ht="12" customHeight="1" x14ac:dyDescent="0.2">
      <c r="A11" s="481" t="s">
        <v>102</v>
      </c>
      <c r="B11" s="462" t="s">
        <v>554</v>
      </c>
      <c r="C11" s="334"/>
    </row>
    <row r="12" spans="1:3" s="116" customFormat="1" ht="12" customHeight="1" x14ac:dyDescent="0.2">
      <c r="A12" s="481" t="s">
        <v>103</v>
      </c>
      <c r="B12" s="462" t="s">
        <v>256</v>
      </c>
      <c r="C12" s="334"/>
    </row>
    <row r="13" spans="1:3" s="116" customFormat="1" ht="12" customHeight="1" x14ac:dyDescent="0.2">
      <c r="A13" s="481" t="s">
        <v>149</v>
      </c>
      <c r="B13" s="462" t="s">
        <v>508</v>
      </c>
      <c r="C13" s="334"/>
    </row>
    <row r="14" spans="1:3" s="115" customFormat="1" ht="12" customHeight="1" thickBot="1" x14ac:dyDescent="0.25">
      <c r="A14" s="482" t="s">
        <v>104</v>
      </c>
      <c r="B14" s="463" t="s">
        <v>437</v>
      </c>
      <c r="C14" s="334"/>
    </row>
    <row r="15" spans="1:3" s="115" customFormat="1" ht="12" customHeight="1" thickBot="1" x14ac:dyDescent="0.25">
      <c r="A15" s="36" t="s">
        <v>19</v>
      </c>
      <c r="B15" s="327" t="s">
        <v>257</v>
      </c>
      <c r="C15" s="332">
        <f>+C16+C17+C18+C19+C20</f>
        <v>0</v>
      </c>
    </row>
    <row r="16" spans="1:3" s="115" customFormat="1" ht="12" customHeight="1" x14ac:dyDescent="0.2">
      <c r="A16" s="480" t="s">
        <v>106</v>
      </c>
      <c r="B16" s="461" t="s">
        <v>258</v>
      </c>
      <c r="C16" s="335"/>
    </row>
    <row r="17" spans="1:3" s="115" customFormat="1" ht="12" customHeight="1" x14ac:dyDescent="0.2">
      <c r="A17" s="481" t="s">
        <v>107</v>
      </c>
      <c r="B17" s="462" t="s">
        <v>259</v>
      </c>
      <c r="C17" s="334"/>
    </row>
    <row r="18" spans="1:3" s="115" customFormat="1" ht="12" customHeight="1" x14ac:dyDescent="0.2">
      <c r="A18" s="481" t="s">
        <v>108</v>
      </c>
      <c r="B18" s="462" t="s">
        <v>426</v>
      </c>
      <c r="C18" s="334"/>
    </row>
    <row r="19" spans="1:3" s="115" customFormat="1" ht="12" customHeight="1" x14ac:dyDescent="0.2">
      <c r="A19" s="481" t="s">
        <v>109</v>
      </c>
      <c r="B19" s="462" t="s">
        <v>427</v>
      </c>
      <c r="C19" s="334"/>
    </row>
    <row r="20" spans="1:3" s="115" customFormat="1" ht="12" customHeight="1" x14ac:dyDescent="0.2">
      <c r="A20" s="481" t="s">
        <v>110</v>
      </c>
      <c r="B20" s="462" t="s">
        <v>260</v>
      </c>
      <c r="C20" s="334"/>
    </row>
    <row r="21" spans="1:3" s="116" customFormat="1" ht="12" customHeight="1" thickBot="1" x14ac:dyDescent="0.25">
      <c r="A21" s="482" t="s">
        <v>119</v>
      </c>
      <c r="B21" s="463" t="s">
        <v>261</v>
      </c>
      <c r="C21" s="336"/>
    </row>
    <row r="22" spans="1:3" s="116" customFormat="1" ht="12" customHeight="1" thickBot="1" x14ac:dyDescent="0.25">
      <c r="A22" s="36" t="s">
        <v>20</v>
      </c>
      <c r="B22" s="21" t="s">
        <v>262</v>
      </c>
      <c r="C22" s="332">
        <f>+C23+C24+C25+C26+C27</f>
        <v>0</v>
      </c>
    </row>
    <row r="23" spans="1:3" s="116" customFormat="1" ht="12" customHeight="1" x14ac:dyDescent="0.2">
      <c r="A23" s="480" t="s">
        <v>89</v>
      </c>
      <c r="B23" s="461" t="s">
        <v>263</v>
      </c>
      <c r="C23" s="335"/>
    </row>
    <row r="24" spans="1:3" s="115" customFormat="1" ht="12" customHeight="1" x14ac:dyDescent="0.2">
      <c r="A24" s="481" t="s">
        <v>90</v>
      </c>
      <c r="B24" s="462" t="s">
        <v>264</v>
      </c>
      <c r="C24" s="334"/>
    </row>
    <row r="25" spans="1:3" s="116" customFormat="1" ht="12" customHeight="1" x14ac:dyDescent="0.2">
      <c r="A25" s="481" t="s">
        <v>91</v>
      </c>
      <c r="B25" s="462" t="s">
        <v>428</v>
      </c>
      <c r="C25" s="334"/>
    </row>
    <row r="26" spans="1:3" s="116" customFormat="1" ht="12" customHeight="1" x14ac:dyDescent="0.2">
      <c r="A26" s="481" t="s">
        <v>92</v>
      </c>
      <c r="B26" s="462" t="s">
        <v>429</v>
      </c>
      <c r="C26" s="334"/>
    </row>
    <row r="27" spans="1:3" s="116" customFormat="1" ht="12" customHeight="1" x14ac:dyDescent="0.2">
      <c r="A27" s="481" t="s">
        <v>169</v>
      </c>
      <c r="B27" s="462" t="s">
        <v>265</v>
      </c>
      <c r="C27" s="334"/>
    </row>
    <row r="28" spans="1:3" s="116" customFormat="1" ht="12" customHeight="1" thickBot="1" x14ac:dyDescent="0.25">
      <c r="A28" s="482" t="s">
        <v>170</v>
      </c>
      <c r="B28" s="463" t="s">
        <v>266</v>
      </c>
      <c r="C28" s="336"/>
    </row>
    <row r="29" spans="1:3" s="116" customFormat="1" ht="12" customHeight="1" thickBot="1" x14ac:dyDescent="0.25">
      <c r="A29" s="36" t="s">
        <v>171</v>
      </c>
      <c r="B29" s="21" t="s">
        <v>267</v>
      </c>
      <c r="C29" s="338">
        <f>SUM(C30:C36)</f>
        <v>0</v>
      </c>
    </row>
    <row r="30" spans="1:3" s="116" customFormat="1" ht="12" customHeight="1" x14ac:dyDescent="0.2">
      <c r="A30" s="480" t="s">
        <v>268</v>
      </c>
      <c r="B30" s="461" t="s">
        <v>559</v>
      </c>
      <c r="C30" s="335"/>
    </row>
    <row r="31" spans="1:3" s="116" customFormat="1" ht="12" customHeight="1" x14ac:dyDescent="0.2">
      <c r="A31" s="481" t="s">
        <v>269</v>
      </c>
      <c r="B31" s="462" t="s">
        <v>560</v>
      </c>
      <c r="C31" s="334"/>
    </row>
    <row r="32" spans="1:3" s="116" customFormat="1" ht="12" customHeight="1" x14ac:dyDescent="0.2">
      <c r="A32" s="481" t="s">
        <v>270</v>
      </c>
      <c r="B32" s="462" t="s">
        <v>561</v>
      </c>
      <c r="C32" s="334"/>
    </row>
    <row r="33" spans="1:3" s="116" customFormat="1" ht="12" customHeight="1" x14ac:dyDescent="0.2">
      <c r="A33" s="481" t="s">
        <v>271</v>
      </c>
      <c r="B33" s="462" t="s">
        <v>562</v>
      </c>
      <c r="C33" s="334"/>
    </row>
    <row r="34" spans="1:3" s="116" customFormat="1" ht="12" customHeight="1" x14ac:dyDescent="0.2">
      <c r="A34" s="481" t="s">
        <v>556</v>
      </c>
      <c r="B34" s="462" t="s">
        <v>272</v>
      </c>
      <c r="C34" s="334"/>
    </row>
    <row r="35" spans="1:3" s="116" customFormat="1" ht="12" customHeight="1" x14ac:dyDescent="0.2">
      <c r="A35" s="481" t="s">
        <v>557</v>
      </c>
      <c r="B35" s="462" t="s">
        <v>273</v>
      </c>
      <c r="C35" s="334"/>
    </row>
    <row r="36" spans="1:3" s="116" customFormat="1" ht="12" customHeight="1" thickBot="1" x14ac:dyDescent="0.25">
      <c r="A36" s="482" t="s">
        <v>558</v>
      </c>
      <c r="B36" s="566" t="s">
        <v>274</v>
      </c>
      <c r="C36" s="336"/>
    </row>
    <row r="37" spans="1:3" s="116" customFormat="1" ht="12" customHeight="1" thickBot="1" x14ac:dyDescent="0.25">
      <c r="A37" s="36" t="s">
        <v>22</v>
      </c>
      <c r="B37" s="21" t="s">
        <v>438</v>
      </c>
      <c r="C37" s="332">
        <f>SUM(C38:C48)</f>
        <v>0</v>
      </c>
    </row>
    <row r="38" spans="1:3" s="116" customFormat="1" ht="12" customHeight="1" x14ac:dyDescent="0.2">
      <c r="A38" s="480" t="s">
        <v>93</v>
      </c>
      <c r="B38" s="461" t="s">
        <v>277</v>
      </c>
      <c r="C38" s="335"/>
    </row>
    <row r="39" spans="1:3" s="116" customFormat="1" ht="12" customHeight="1" x14ac:dyDescent="0.2">
      <c r="A39" s="481" t="s">
        <v>94</v>
      </c>
      <c r="B39" s="462" t="s">
        <v>278</v>
      </c>
      <c r="C39" s="334"/>
    </row>
    <row r="40" spans="1:3" s="116" customFormat="1" ht="12" customHeight="1" x14ac:dyDescent="0.2">
      <c r="A40" s="481" t="s">
        <v>95</v>
      </c>
      <c r="B40" s="462" t="s">
        <v>279</v>
      </c>
      <c r="C40" s="334"/>
    </row>
    <row r="41" spans="1:3" s="116" customFormat="1" ht="12" customHeight="1" x14ac:dyDescent="0.2">
      <c r="A41" s="481" t="s">
        <v>173</v>
      </c>
      <c r="B41" s="462" t="s">
        <v>280</v>
      </c>
      <c r="C41" s="334"/>
    </row>
    <row r="42" spans="1:3" s="116" customFormat="1" ht="12" customHeight="1" x14ac:dyDescent="0.2">
      <c r="A42" s="481" t="s">
        <v>174</v>
      </c>
      <c r="B42" s="462" t="s">
        <v>281</v>
      </c>
      <c r="C42" s="334"/>
    </row>
    <row r="43" spans="1:3" s="116" customFormat="1" ht="12" customHeight="1" x14ac:dyDescent="0.2">
      <c r="A43" s="481" t="s">
        <v>175</v>
      </c>
      <c r="B43" s="462" t="s">
        <v>282</v>
      </c>
      <c r="C43" s="334"/>
    </row>
    <row r="44" spans="1:3" s="116" customFormat="1" ht="12" customHeight="1" x14ac:dyDescent="0.2">
      <c r="A44" s="481" t="s">
        <v>176</v>
      </c>
      <c r="B44" s="462" t="s">
        <v>283</v>
      </c>
      <c r="C44" s="334"/>
    </row>
    <row r="45" spans="1:3" s="116" customFormat="1" ht="12" customHeight="1" x14ac:dyDescent="0.2">
      <c r="A45" s="481" t="s">
        <v>177</v>
      </c>
      <c r="B45" s="462" t="s">
        <v>563</v>
      </c>
      <c r="C45" s="334"/>
    </row>
    <row r="46" spans="1:3" s="116" customFormat="1" ht="12" customHeight="1" x14ac:dyDescent="0.2">
      <c r="A46" s="481" t="s">
        <v>275</v>
      </c>
      <c r="B46" s="462" t="s">
        <v>285</v>
      </c>
      <c r="C46" s="337"/>
    </row>
    <row r="47" spans="1:3" s="116" customFormat="1" ht="12" customHeight="1" x14ac:dyDescent="0.2">
      <c r="A47" s="482" t="s">
        <v>276</v>
      </c>
      <c r="B47" s="463" t="s">
        <v>440</v>
      </c>
      <c r="C47" s="447"/>
    </row>
    <row r="48" spans="1:3" s="116" customFormat="1" ht="12" customHeight="1" thickBot="1" x14ac:dyDescent="0.25">
      <c r="A48" s="482" t="s">
        <v>439</v>
      </c>
      <c r="B48" s="463" t="s">
        <v>286</v>
      </c>
      <c r="C48" s="447"/>
    </row>
    <row r="49" spans="1:3" s="116" customFormat="1" ht="12" customHeight="1" thickBot="1" x14ac:dyDescent="0.25">
      <c r="A49" s="36" t="s">
        <v>23</v>
      </c>
      <c r="B49" s="21" t="s">
        <v>287</v>
      </c>
      <c r="C49" s="332">
        <f>SUM(C50:C54)</f>
        <v>0</v>
      </c>
    </row>
    <row r="50" spans="1:3" s="116" customFormat="1" ht="12" customHeight="1" x14ac:dyDescent="0.2">
      <c r="A50" s="480" t="s">
        <v>96</v>
      </c>
      <c r="B50" s="461" t="s">
        <v>291</v>
      </c>
      <c r="C50" s="506"/>
    </row>
    <row r="51" spans="1:3" s="116" customFormat="1" ht="12" customHeight="1" x14ac:dyDescent="0.2">
      <c r="A51" s="481" t="s">
        <v>97</v>
      </c>
      <c r="B51" s="462" t="s">
        <v>292</v>
      </c>
      <c r="C51" s="337"/>
    </row>
    <row r="52" spans="1:3" s="116" customFormat="1" ht="12" customHeight="1" x14ac:dyDescent="0.2">
      <c r="A52" s="481" t="s">
        <v>288</v>
      </c>
      <c r="B52" s="462" t="s">
        <v>293</v>
      </c>
      <c r="C52" s="337"/>
    </row>
    <row r="53" spans="1:3" s="116" customFormat="1" ht="12" customHeight="1" x14ac:dyDescent="0.2">
      <c r="A53" s="481" t="s">
        <v>289</v>
      </c>
      <c r="B53" s="462" t="s">
        <v>294</v>
      </c>
      <c r="C53" s="337"/>
    </row>
    <row r="54" spans="1:3" s="116" customFormat="1" ht="12" customHeight="1" thickBot="1" x14ac:dyDescent="0.25">
      <c r="A54" s="482" t="s">
        <v>290</v>
      </c>
      <c r="B54" s="566" t="s">
        <v>295</v>
      </c>
      <c r="C54" s="447"/>
    </row>
    <row r="55" spans="1:3" s="116" customFormat="1" ht="12" customHeight="1" thickBot="1" x14ac:dyDescent="0.25">
      <c r="A55" s="36" t="s">
        <v>178</v>
      </c>
      <c r="B55" s="21" t="s">
        <v>296</v>
      </c>
      <c r="C55" s="332">
        <f>SUM(C56:C58)</f>
        <v>0</v>
      </c>
    </row>
    <row r="56" spans="1:3" s="116" customFormat="1" ht="12" customHeight="1" x14ac:dyDescent="0.2">
      <c r="A56" s="480" t="s">
        <v>98</v>
      </c>
      <c r="B56" s="461" t="s">
        <v>297</v>
      </c>
      <c r="C56" s="335"/>
    </row>
    <row r="57" spans="1:3" s="116" customFormat="1" ht="12" customHeight="1" x14ac:dyDescent="0.2">
      <c r="A57" s="481" t="s">
        <v>99</v>
      </c>
      <c r="B57" s="462" t="s">
        <v>430</v>
      </c>
      <c r="C57" s="334"/>
    </row>
    <row r="58" spans="1:3" s="116" customFormat="1" ht="12" customHeight="1" x14ac:dyDescent="0.2">
      <c r="A58" s="481" t="s">
        <v>300</v>
      </c>
      <c r="B58" s="462" t="s">
        <v>298</v>
      </c>
      <c r="C58" s="334"/>
    </row>
    <row r="59" spans="1:3" s="116" customFormat="1" ht="12" customHeight="1" thickBot="1" x14ac:dyDescent="0.25">
      <c r="A59" s="482" t="s">
        <v>301</v>
      </c>
      <c r="B59" s="566" t="s">
        <v>299</v>
      </c>
      <c r="C59" s="336"/>
    </row>
    <row r="60" spans="1:3" s="116" customFormat="1" ht="12" customHeight="1" thickBot="1" x14ac:dyDescent="0.25">
      <c r="A60" s="36" t="s">
        <v>25</v>
      </c>
      <c r="B60" s="327" t="s">
        <v>302</v>
      </c>
      <c r="C60" s="332">
        <f>SUM(C61:C63)</f>
        <v>0</v>
      </c>
    </row>
    <row r="61" spans="1:3" s="116" customFormat="1" ht="12" customHeight="1" x14ac:dyDescent="0.2">
      <c r="A61" s="480" t="s">
        <v>179</v>
      </c>
      <c r="B61" s="461" t="s">
        <v>304</v>
      </c>
      <c r="C61" s="337"/>
    </row>
    <row r="62" spans="1:3" s="116" customFormat="1" ht="12" customHeight="1" x14ac:dyDescent="0.2">
      <c r="A62" s="481" t="s">
        <v>180</v>
      </c>
      <c r="B62" s="462" t="s">
        <v>431</v>
      </c>
      <c r="C62" s="337"/>
    </row>
    <row r="63" spans="1:3" s="116" customFormat="1" ht="12" customHeight="1" x14ac:dyDescent="0.2">
      <c r="A63" s="481" t="s">
        <v>228</v>
      </c>
      <c r="B63" s="462" t="s">
        <v>305</v>
      </c>
      <c r="C63" s="337"/>
    </row>
    <row r="64" spans="1:3" s="116" customFormat="1" ht="12" customHeight="1" thickBot="1" x14ac:dyDescent="0.25">
      <c r="A64" s="482" t="s">
        <v>303</v>
      </c>
      <c r="B64" s="566" t="s">
        <v>306</v>
      </c>
      <c r="C64" s="337"/>
    </row>
    <row r="65" spans="1:3" s="116" customFormat="1" ht="12" customHeight="1" thickBot="1" x14ac:dyDescent="0.25">
      <c r="A65" s="36" t="s">
        <v>26</v>
      </c>
      <c r="B65" s="21" t="s">
        <v>307</v>
      </c>
      <c r="C65" s="338">
        <f>+C8+C15+C22+C29+C37+C49+C55+C60</f>
        <v>0</v>
      </c>
    </row>
    <row r="66" spans="1:3" s="116" customFormat="1" ht="12" customHeight="1" thickBot="1" x14ac:dyDescent="0.2">
      <c r="A66" s="483" t="s">
        <v>398</v>
      </c>
      <c r="B66" s="327" t="s">
        <v>309</v>
      </c>
      <c r="C66" s="332">
        <f>SUM(C67:C69)</f>
        <v>0</v>
      </c>
    </row>
    <row r="67" spans="1:3" s="116" customFormat="1" ht="12" customHeight="1" x14ac:dyDescent="0.2">
      <c r="A67" s="480" t="s">
        <v>340</v>
      </c>
      <c r="B67" s="461" t="s">
        <v>310</v>
      </c>
      <c r="C67" s="337"/>
    </row>
    <row r="68" spans="1:3" s="116" customFormat="1" ht="12" customHeight="1" x14ac:dyDescent="0.2">
      <c r="A68" s="481" t="s">
        <v>349</v>
      </c>
      <c r="B68" s="462" t="s">
        <v>311</v>
      </c>
      <c r="C68" s="337"/>
    </row>
    <row r="69" spans="1:3" s="116" customFormat="1" ht="12" customHeight="1" thickBot="1" x14ac:dyDescent="0.25">
      <c r="A69" s="482" t="s">
        <v>350</v>
      </c>
      <c r="B69" s="570" t="s">
        <v>312</v>
      </c>
      <c r="C69" s="337"/>
    </row>
    <row r="70" spans="1:3" s="116" customFormat="1" ht="12" customHeight="1" thickBot="1" x14ac:dyDescent="0.2">
      <c r="A70" s="483" t="s">
        <v>313</v>
      </c>
      <c r="B70" s="327" t="s">
        <v>314</v>
      </c>
      <c r="C70" s="332">
        <f>SUM(C71:C74)</f>
        <v>0</v>
      </c>
    </row>
    <row r="71" spans="1:3" s="116" customFormat="1" ht="12" customHeight="1" x14ac:dyDescent="0.2">
      <c r="A71" s="480" t="s">
        <v>150</v>
      </c>
      <c r="B71" s="461" t="s">
        <v>315</v>
      </c>
      <c r="C71" s="337"/>
    </row>
    <row r="72" spans="1:3" s="116" customFormat="1" ht="12" customHeight="1" x14ac:dyDescent="0.2">
      <c r="A72" s="481" t="s">
        <v>151</v>
      </c>
      <c r="B72" s="462" t="s">
        <v>316</v>
      </c>
      <c r="C72" s="337"/>
    </row>
    <row r="73" spans="1:3" s="116" customFormat="1" ht="12" customHeight="1" x14ac:dyDescent="0.2">
      <c r="A73" s="481" t="s">
        <v>341</v>
      </c>
      <c r="B73" s="462" t="s">
        <v>317</v>
      </c>
      <c r="C73" s="337"/>
    </row>
    <row r="74" spans="1:3" s="116" customFormat="1" ht="12" customHeight="1" thickBot="1" x14ac:dyDescent="0.25">
      <c r="A74" s="482" t="s">
        <v>342</v>
      </c>
      <c r="B74" s="463" t="s">
        <v>318</v>
      </c>
      <c r="C74" s="337"/>
    </row>
    <row r="75" spans="1:3" s="116" customFormat="1" ht="12" customHeight="1" thickBot="1" x14ac:dyDescent="0.2">
      <c r="A75" s="483" t="s">
        <v>319</v>
      </c>
      <c r="B75" s="327" t="s">
        <v>320</v>
      </c>
      <c r="C75" s="332">
        <f>SUM(C76:C77)</f>
        <v>0</v>
      </c>
    </row>
    <row r="76" spans="1:3" s="116" customFormat="1" ht="12" customHeight="1" x14ac:dyDescent="0.2">
      <c r="A76" s="480" t="s">
        <v>343</v>
      </c>
      <c r="B76" s="461" t="s">
        <v>321</v>
      </c>
      <c r="C76" s="337"/>
    </row>
    <row r="77" spans="1:3" s="116" customFormat="1" ht="12" customHeight="1" thickBot="1" x14ac:dyDescent="0.25">
      <c r="A77" s="482" t="s">
        <v>344</v>
      </c>
      <c r="B77" s="463" t="s">
        <v>322</v>
      </c>
      <c r="C77" s="337"/>
    </row>
    <row r="78" spans="1:3" s="115" customFormat="1" ht="12" customHeight="1" thickBot="1" x14ac:dyDescent="0.2">
      <c r="A78" s="483" t="s">
        <v>323</v>
      </c>
      <c r="B78" s="327" t="s">
        <v>324</v>
      </c>
      <c r="C78" s="332">
        <f>SUM(C79:C81)</f>
        <v>0</v>
      </c>
    </row>
    <row r="79" spans="1:3" s="116" customFormat="1" ht="12" customHeight="1" x14ac:dyDescent="0.2">
      <c r="A79" s="480" t="s">
        <v>345</v>
      </c>
      <c r="B79" s="461" t="s">
        <v>325</v>
      </c>
      <c r="C79" s="337"/>
    </row>
    <row r="80" spans="1:3" s="116" customFormat="1" ht="12" customHeight="1" x14ac:dyDescent="0.2">
      <c r="A80" s="481" t="s">
        <v>346</v>
      </c>
      <c r="B80" s="462" t="s">
        <v>326</v>
      </c>
      <c r="C80" s="337"/>
    </row>
    <row r="81" spans="1:3" s="116" customFormat="1" ht="12" customHeight="1" thickBot="1" x14ac:dyDescent="0.25">
      <c r="A81" s="482" t="s">
        <v>347</v>
      </c>
      <c r="B81" s="463" t="s">
        <v>327</v>
      </c>
      <c r="C81" s="337"/>
    </row>
    <row r="82" spans="1:3" s="116" customFormat="1" ht="12" customHeight="1" thickBot="1" x14ac:dyDescent="0.2">
      <c r="A82" s="483" t="s">
        <v>328</v>
      </c>
      <c r="B82" s="327" t="s">
        <v>348</v>
      </c>
      <c r="C82" s="332">
        <f>SUM(C83:C86)</f>
        <v>0</v>
      </c>
    </row>
    <row r="83" spans="1:3" s="116" customFormat="1" ht="12" customHeight="1" x14ac:dyDescent="0.2">
      <c r="A83" s="484" t="s">
        <v>329</v>
      </c>
      <c r="B83" s="461" t="s">
        <v>330</v>
      </c>
      <c r="C83" s="337"/>
    </row>
    <row r="84" spans="1:3" s="116" customFormat="1" ht="12" customHeight="1" x14ac:dyDescent="0.2">
      <c r="A84" s="485" t="s">
        <v>331</v>
      </c>
      <c r="B84" s="462" t="s">
        <v>332</v>
      </c>
      <c r="C84" s="337"/>
    </row>
    <row r="85" spans="1:3" s="116" customFormat="1" ht="12" customHeight="1" x14ac:dyDescent="0.2">
      <c r="A85" s="485" t="s">
        <v>333</v>
      </c>
      <c r="B85" s="462" t="s">
        <v>334</v>
      </c>
      <c r="C85" s="337"/>
    </row>
    <row r="86" spans="1:3" s="115" customFormat="1" ht="12" customHeight="1" thickBot="1" x14ac:dyDescent="0.25">
      <c r="A86" s="486" t="s">
        <v>335</v>
      </c>
      <c r="B86" s="463" t="s">
        <v>336</v>
      </c>
      <c r="C86" s="337"/>
    </row>
    <row r="87" spans="1:3" s="115" customFormat="1" ht="12" customHeight="1" thickBot="1" x14ac:dyDescent="0.2">
      <c r="A87" s="483" t="s">
        <v>337</v>
      </c>
      <c r="B87" s="327" t="s">
        <v>479</v>
      </c>
      <c r="C87" s="507"/>
    </row>
    <row r="88" spans="1:3" s="115" customFormat="1" ht="12" customHeight="1" thickBot="1" x14ac:dyDescent="0.2">
      <c r="A88" s="483" t="s">
        <v>509</v>
      </c>
      <c r="B88" s="327" t="s">
        <v>338</v>
      </c>
      <c r="C88" s="507"/>
    </row>
    <row r="89" spans="1:3" s="115" customFormat="1" ht="12" customHeight="1" thickBot="1" x14ac:dyDescent="0.2">
      <c r="A89" s="483" t="s">
        <v>510</v>
      </c>
      <c r="B89" s="468" t="s">
        <v>482</v>
      </c>
      <c r="C89" s="338">
        <f>+C66+C70+C75+C78+C82+C88+C87</f>
        <v>0</v>
      </c>
    </row>
    <row r="90" spans="1:3" s="115" customFormat="1" ht="12" customHeight="1" thickBot="1" x14ac:dyDescent="0.2">
      <c r="A90" s="487" t="s">
        <v>511</v>
      </c>
      <c r="B90" s="469" t="s">
        <v>512</v>
      </c>
      <c r="C90" s="338">
        <f>+C65+C89</f>
        <v>0</v>
      </c>
    </row>
    <row r="91" spans="1:3" s="116" customFormat="1" ht="15" customHeight="1" thickBot="1" x14ac:dyDescent="0.25">
      <c r="A91" s="269"/>
      <c r="B91" s="270"/>
      <c r="C91" s="402"/>
    </row>
    <row r="92" spans="1:3" s="75" customFormat="1" ht="16.5" customHeight="1" thickBot="1" x14ac:dyDescent="0.25">
      <c r="A92" s="273"/>
      <c r="B92" s="274" t="s">
        <v>58</v>
      </c>
      <c r="C92" s="404"/>
    </row>
    <row r="93" spans="1:3" s="117" customFormat="1" ht="12" customHeight="1" thickBot="1" x14ac:dyDescent="0.25">
      <c r="A93" s="453" t="s">
        <v>18</v>
      </c>
      <c r="B93" s="31" t="s">
        <v>516</v>
      </c>
      <c r="C93" s="331">
        <f>+C94+C95+C96+C97+C98+C111</f>
        <v>0</v>
      </c>
    </row>
    <row r="94" spans="1:3" ht="12" customHeight="1" x14ac:dyDescent="0.2">
      <c r="A94" s="488" t="s">
        <v>100</v>
      </c>
      <c r="B94" s="10" t="s">
        <v>49</v>
      </c>
      <c r="C94" s="333"/>
    </row>
    <row r="95" spans="1:3" ht="12" customHeight="1" x14ac:dyDescent="0.2">
      <c r="A95" s="481" t="s">
        <v>101</v>
      </c>
      <c r="B95" s="8" t="s">
        <v>181</v>
      </c>
      <c r="C95" s="334"/>
    </row>
    <row r="96" spans="1:3" ht="12" customHeight="1" x14ac:dyDescent="0.2">
      <c r="A96" s="481" t="s">
        <v>102</v>
      </c>
      <c r="B96" s="8" t="s">
        <v>142</v>
      </c>
      <c r="C96" s="336"/>
    </row>
    <row r="97" spans="1:3" ht="12" customHeight="1" x14ac:dyDescent="0.2">
      <c r="A97" s="481" t="s">
        <v>103</v>
      </c>
      <c r="B97" s="11" t="s">
        <v>182</v>
      </c>
      <c r="C97" s="336"/>
    </row>
    <row r="98" spans="1:3" ht="12" customHeight="1" x14ac:dyDescent="0.2">
      <c r="A98" s="481" t="s">
        <v>114</v>
      </c>
      <c r="B98" s="19" t="s">
        <v>183</v>
      </c>
      <c r="C98" s="336"/>
    </row>
    <row r="99" spans="1:3" ht="12" customHeight="1" x14ac:dyDescent="0.2">
      <c r="A99" s="481" t="s">
        <v>104</v>
      </c>
      <c r="B99" s="8" t="s">
        <v>513</v>
      </c>
      <c r="C99" s="336"/>
    </row>
    <row r="100" spans="1:3" ht="12" customHeight="1" x14ac:dyDescent="0.2">
      <c r="A100" s="481" t="s">
        <v>105</v>
      </c>
      <c r="B100" s="167" t="s">
        <v>445</v>
      </c>
      <c r="C100" s="336"/>
    </row>
    <row r="101" spans="1:3" ht="12" customHeight="1" x14ac:dyDescent="0.2">
      <c r="A101" s="481" t="s">
        <v>115</v>
      </c>
      <c r="B101" s="167" t="s">
        <v>444</v>
      </c>
      <c r="C101" s="336"/>
    </row>
    <row r="102" spans="1:3" ht="12" customHeight="1" x14ac:dyDescent="0.2">
      <c r="A102" s="481" t="s">
        <v>116</v>
      </c>
      <c r="B102" s="167" t="s">
        <v>354</v>
      </c>
      <c r="C102" s="336"/>
    </row>
    <row r="103" spans="1:3" ht="12" customHeight="1" x14ac:dyDescent="0.2">
      <c r="A103" s="481" t="s">
        <v>117</v>
      </c>
      <c r="B103" s="168" t="s">
        <v>355</v>
      </c>
      <c r="C103" s="336"/>
    </row>
    <row r="104" spans="1:3" ht="12" customHeight="1" x14ac:dyDescent="0.2">
      <c r="A104" s="481" t="s">
        <v>118</v>
      </c>
      <c r="B104" s="168" t="s">
        <v>356</v>
      </c>
      <c r="C104" s="336"/>
    </row>
    <row r="105" spans="1:3" ht="12" customHeight="1" x14ac:dyDescent="0.2">
      <c r="A105" s="481" t="s">
        <v>120</v>
      </c>
      <c r="B105" s="167" t="s">
        <v>357</v>
      </c>
      <c r="C105" s="336"/>
    </row>
    <row r="106" spans="1:3" ht="12" customHeight="1" x14ac:dyDescent="0.2">
      <c r="A106" s="481" t="s">
        <v>184</v>
      </c>
      <c r="B106" s="167" t="s">
        <v>358</v>
      </c>
      <c r="C106" s="336"/>
    </row>
    <row r="107" spans="1:3" ht="12" customHeight="1" x14ac:dyDescent="0.2">
      <c r="A107" s="481" t="s">
        <v>352</v>
      </c>
      <c r="B107" s="168" t="s">
        <v>359</v>
      </c>
      <c r="C107" s="336"/>
    </row>
    <row r="108" spans="1:3" ht="12" customHeight="1" x14ac:dyDescent="0.2">
      <c r="A108" s="489" t="s">
        <v>353</v>
      </c>
      <c r="B108" s="169" t="s">
        <v>360</v>
      </c>
      <c r="C108" s="336"/>
    </row>
    <row r="109" spans="1:3" ht="12" customHeight="1" x14ac:dyDescent="0.2">
      <c r="A109" s="481" t="s">
        <v>442</v>
      </c>
      <c r="B109" s="169" t="s">
        <v>361</v>
      </c>
      <c r="C109" s="336"/>
    </row>
    <row r="110" spans="1:3" ht="12" customHeight="1" x14ac:dyDescent="0.2">
      <c r="A110" s="481" t="s">
        <v>443</v>
      </c>
      <c r="B110" s="168" t="s">
        <v>362</v>
      </c>
      <c r="C110" s="334"/>
    </row>
    <row r="111" spans="1:3" ht="12" customHeight="1" x14ac:dyDescent="0.2">
      <c r="A111" s="481" t="s">
        <v>447</v>
      </c>
      <c r="B111" s="11" t="s">
        <v>50</v>
      </c>
      <c r="C111" s="334"/>
    </row>
    <row r="112" spans="1:3" ht="12" customHeight="1" x14ac:dyDescent="0.2">
      <c r="A112" s="482" t="s">
        <v>448</v>
      </c>
      <c r="B112" s="8" t="s">
        <v>514</v>
      </c>
      <c r="C112" s="336"/>
    </row>
    <row r="113" spans="1:3" ht="12" customHeight="1" thickBot="1" x14ac:dyDescent="0.25">
      <c r="A113" s="490" t="s">
        <v>449</v>
      </c>
      <c r="B113" s="170" t="s">
        <v>515</v>
      </c>
      <c r="C113" s="340"/>
    </row>
    <row r="114" spans="1:3" ht="12" customHeight="1" thickBot="1" x14ac:dyDescent="0.25">
      <c r="A114" s="36" t="s">
        <v>19</v>
      </c>
      <c r="B114" s="30" t="s">
        <v>363</v>
      </c>
      <c r="C114" s="332">
        <f>+C115+C117+C119</f>
        <v>0</v>
      </c>
    </row>
    <row r="115" spans="1:3" ht="12" customHeight="1" x14ac:dyDescent="0.2">
      <c r="A115" s="480" t="s">
        <v>106</v>
      </c>
      <c r="B115" s="8" t="s">
        <v>226</v>
      </c>
      <c r="C115" s="335"/>
    </row>
    <row r="116" spans="1:3" ht="12" customHeight="1" x14ac:dyDescent="0.2">
      <c r="A116" s="480" t="s">
        <v>107</v>
      </c>
      <c r="B116" s="12" t="s">
        <v>367</v>
      </c>
      <c r="C116" s="335"/>
    </row>
    <row r="117" spans="1:3" ht="12" customHeight="1" x14ac:dyDescent="0.2">
      <c r="A117" s="480" t="s">
        <v>108</v>
      </c>
      <c r="B117" s="12" t="s">
        <v>185</v>
      </c>
      <c r="C117" s="334"/>
    </row>
    <row r="118" spans="1:3" ht="12" customHeight="1" x14ac:dyDescent="0.2">
      <c r="A118" s="480" t="s">
        <v>109</v>
      </c>
      <c r="B118" s="12" t="s">
        <v>368</v>
      </c>
      <c r="C118" s="299"/>
    </row>
    <row r="119" spans="1:3" ht="12" customHeight="1" x14ac:dyDescent="0.2">
      <c r="A119" s="480" t="s">
        <v>110</v>
      </c>
      <c r="B119" s="329" t="s">
        <v>229</v>
      </c>
      <c r="C119" s="299"/>
    </row>
    <row r="120" spans="1:3" ht="12" customHeight="1" x14ac:dyDescent="0.2">
      <c r="A120" s="480" t="s">
        <v>119</v>
      </c>
      <c r="B120" s="328" t="s">
        <v>432</v>
      </c>
      <c r="C120" s="299"/>
    </row>
    <row r="121" spans="1:3" ht="12" customHeight="1" x14ac:dyDescent="0.2">
      <c r="A121" s="480" t="s">
        <v>121</v>
      </c>
      <c r="B121" s="457" t="s">
        <v>373</v>
      </c>
      <c r="C121" s="299"/>
    </row>
    <row r="122" spans="1:3" ht="12" customHeight="1" x14ac:dyDescent="0.2">
      <c r="A122" s="480" t="s">
        <v>186</v>
      </c>
      <c r="B122" s="168" t="s">
        <v>356</v>
      </c>
      <c r="C122" s="299"/>
    </row>
    <row r="123" spans="1:3" ht="12" customHeight="1" x14ac:dyDescent="0.2">
      <c r="A123" s="480" t="s">
        <v>187</v>
      </c>
      <c r="B123" s="168" t="s">
        <v>372</v>
      </c>
      <c r="C123" s="299"/>
    </row>
    <row r="124" spans="1:3" ht="12" customHeight="1" x14ac:dyDescent="0.2">
      <c r="A124" s="480" t="s">
        <v>188</v>
      </c>
      <c r="B124" s="168" t="s">
        <v>371</v>
      </c>
      <c r="C124" s="299"/>
    </row>
    <row r="125" spans="1:3" ht="12" customHeight="1" x14ac:dyDescent="0.2">
      <c r="A125" s="480" t="s">
        <v>364</v>
      </c>
      <c r="B125" s="168" t="s">
        <v>359</v>
      </c>
      <c r="C125" s="299"/>
    </row>
    <row r="126" spans="1:3" ht="12" customHeight="1" x14ac:dyDescent="0.2">
      <c r="A126" s="480" t="s">
        <v>365</v>
      </c>
      <c r="B126" s="168" t="s">
        <v>370</v>
      </c>
      <c r="C126" s="299"/>
    </row>
    <row r="127" spans="1:3" ht="12" customHeight="1" thickBot="1" x14ac:dyDescent="0.25">
      <c r="A127" s="489" t="s">
        <v>366</v>
      </c>
      <c r="B127" s="168" t="s">
        <v>369</v>
      </c>
      <c r="C127" s="301"/>
    </row>
    <row r="128" spans="1:3" ht="12" customHeight="1" thickBot="1" x14ac:dyDescent="0.25">
      <c r="A128" s="36" t="s">
        <v>20</v>
      </c>
      <c r="B128" s="150" t="s">
        <v>452</v>
      </c>
      <c r="C128" s="332">
        <f>+C93+C114</f>
        <v>0</v>
      </c>
    </row>
    <row r="129" spans="1:11" ht="12" customHeight="1" thickBot="1" x14ac:dyDescent="0.25">
      <c r="A129" s="36" t="s">
        <v>21</v>
      </c>
      <c r="B129" s="150" t="s">
        <v>453</v>
      </c>
      <c r="C129" s="332">
        <f>+C130+C131+C132</f>
        <v>0</v>
      </c>
    </row>
    <row r="130" spans="1:11" s="117" customFormat="1" ht="12" customHeight="1" x14ac:dyDescent="0.2">
      <c r="A130" s="480" t="s">
        <v>268</v>
      </c>
      <c r="B130" s="9" t="s">
        <v>519</v>
      </c>
      <c r="C130" s="299"/>
    </row>
    <row r="131" spans="1:11" ht="12" customHeight="1" x14ac:dyDescent="0.2">
      <c r="A131" s="480" t="s">
        <v>269</v>
      </c>
      <c r="B131" s="9" t="s">
        <v>461</v>
      </c>
      <c r="C131" s="299"/>
    </row>
    <row r="132" spans="1:11" ht="12" customHeight="1" thickBot="1" x14ac:dyDescent="0.25">
      <c r="A132" s="489" t="s">
        <v>270</v>
      </c>
      <c r="B132" s="7" t="s">
        <v>518</v>
      </c>
      <c r="C132" s="299"/>
    </row>
    <row r="133" spans="1:11" ht="12" customHeight="1" thickBot="1" x14ac:dyDescent="0.25">
      <c r="A133" s="36" t="s">
        <v>22</v>
      </c>
      <c r="B133" s="150" t="s">
        <v>454</v>
      </c>
      <c r="C133" s="332">
        <f>+C134+C135+C136+C137+C138+C139</f>
        <v>0</v>
      </c>
    </row>
    <row r="134" spans="1:11" ht="12" customHeight="1" x14ac:dyDescent="0.2">
      <c r="A134" s="480" t="s">
        <v>93</v>
      </c>
      <c r="B134" s="9" t="s">
        <v>463</v>
      </c>
      <c r="C134" s="299"/>
    </row>
    <row r="135" spans="1:11" ht="12" customHeight="1" x14ac:dyDescent="0.2">
      <c r="A135" s="480" t="s">
        <v>94</v>
      </c>
      <c r="B135" s="9" t="s">
        <v>455</v>
      </c>
      <c r="C135" s="299"/>
    </row>
    <row r="136" spans="1:11" ht="12" customHeight="1" x14ac:dyDescent="0.2">
      <c r="A136" s="480" t="s">
        <v>95</v>
      </c>
      <c r="B136" s="9" t="s">
        <v>456</v>
      </c>
      <c r="C136" s="299"/>
    </row>
    <row r="137" spans="1:11" ht="12" customHeight="1" x14ac:dyDescent="0.2">
      <c r="A137" s="480" t="s">
        <v>173</v>
      </c>
      <c r="B137" s="9" t="s">
        <v>517</v>
      </c>
      <c r="C137" s="299"/>
    </row>
    <row r="138" spans="1:11" ht="12" customHeight="1" x14ac:dyDescent="0.2">
      <c r="A138" s="480" t="s">
        <v>174</v>
      </c>
      <c r="B138" s="9" t="s">
        <v>458</v>
      </c>
      <c r="C138" s="299"/>
    </row>
    <row r="139" spans="1:11" s="117" customFormat="1" ht="12" customHeight="1" thickBot="1" x14ac:dyDescent="0.25">
      <c r="A139" s="489" t="s">
        <v>175</v>
      </c>
      <c r="B139" s="7" t="s">
        <v>459</v>
      </c>
      <c r="C139" s="299"/>
    </row>
    <row r="140" spans="1:11" ht="12" customHeight="1" thickBot="1" x14ac:dyDescent="0.25">
      <c r="A140" s="36" t="s">
        <v>23</v>
      </c>
      <c r="B140" s="150" t="s">
        <v>545</v>
      </c>
      <c r="C140" s="338">
        <f>+C141+C142+C144+C145+C143</f>
        <v>0</v>
      </c>
      <c r="K140" s="281"/>
    </row>
    <row r="141" spans="1:11" x14ac:dyDescent="0.2">
      <c r="A141" s="480" t="s">
        <v>96</v>
      </c>
      <c r="B141" s="9" t="s">
        <v>374</v>
      </c>
      <c r="C141" s="299"/>
    </row>
    <row r="142" spans="1:11" ht="12" customHeight="1" x14ac:dyDescent="0.2">
      <c r="A142" s="480" t="s">
        <v>97</v>
      </c>
      <c r="B142" s="9" t="s">
        <v>375</v>
      </c>
      <c r="C142" s="299"/>
    </row>
    <row r="143" spans="1:11" s="117" customFormat="1" ht="12" customHeight="1" x14ac:dyDescent="0.2">
      <c r="A143" s="480" t="s">
        <v>288</v>
      </c>
      <c r="B143" s="9" t="s">
        <v>544</v>
      </c>
      <c r="C143" s="299"/>
    </row>
    <row r="144" spans="1:11" s="117" customFormat="1" ht="12" customHeight="1" x14ac:dyDescent="0.2">
      <c r="A144" s="480" t="s">
        <v>289</v>
      </c>
      <c r="B144" s="9" t="s">
        <v>468</v>
      </c>
      <c r="C144" s="299"/>
    </row>
    <row r="145" spans="1:3" s="117" customFormat="1" ht="12" customHeight="1" thickBot="1" x14ac:dyDescent="0.25">
      <c r="A145" s="489" t="s">
        <v>290</v>
      </c>
      <c r="B145" s="7" t="s">
        <v>394</v>
      </c>
      <c r="C145" s="299"/>
    </row>
    <row r="146" spans="1:3" s="117" customFormat="1" ht="12" customHeight="1" thickBot="1" x14ac:dyDescent="0.25">
      <c r="A146" s="36" t="s">
        <v>24</v>
      </c>
      <c r="B146" s="150" t="s">
        <v>469</v>
      </c>
      <c r="C146" s="341">
        <f>+C147+C148+C149+C150+C151</f>
        <v>0</v>
      </c>
    </row>
    <row r="147" spans="1:3" s="117" customFormat="1" ht="12" customHeight="1" x14ac:dyDescent="0.2">
      <c r="A147" s="480" t="s">
        <v>98</v>
      </c>
      <c r="B147" s="9" t="s">
        <v>464</v>
      </c>
      <c r="C147" s="299"/>
    </row>
    <row r="148" spans="1:3" s="117" customFormat="1" ht="12" customHeight="1" x14ac:dyDescent="0.2">
      <c r="A148" s="480" t="s">
        <v>99</v>
      </c>
      <c r="B148" s="9" t="s">
        <v>471</v>
      </c>
      <c r="C148" s="299"/>
    </row>
    <row r="149" spans="1:3" s="117" customFormat="1" ht="12" customHeight="1" x14ac:dyDescent="0.2">
      <c r="A149" s="480" t="s">
        <v>300</v>
      </c>
      <c r="B149" s="9" t="s">
        <v>466</v>
      </c>
      <c r="C149" s="299"/>
    </row>
    <row r="150" spans="1:3" ht="12.75" customHeight="1" x14ac:dyDescent="0.2">
      <c r="A150" s="480" t="s">
        <v>301</v>
      </c>
      <c r="B150" s="9" t="s">
        <v>520</v>
      </c>
      <c r="C150" s="299"/>
    </row>
    <row r="151" spans="1:3" ht="12.75" customHeight="1" thickBot="1" x14ac:dyDescent="0.25">
      <c r="A151" s="489" t="s">
        <v>470</v>
      </c>
      <c r="B151" s="7" t="s">
        <v>473</v>
      </c>
      <c r="C151" s="301"/>
    </row>
    <row r="152" spans="1:3" ht="12.75" customHeight="1" thickBot="1" x14ac:dyDescent="0.25">
      <c r="A152" s="541" t="s">
        <v>25</v>
      </c>
      <c r="B152" s="150" t="s">
        <v>474</v>
      </c>
      <c r="C152" s="341"/>
    </row>
    <row r="153" spans="1:3" ht="12" customHeight="1" thickBot="1" x14ac:dyDescent="0.25">
      <c r="A153" s="541" t="s">
        <v>26</v>
      </c>
      <c r="B153" s="150" t="s">
        <v>475</v>
      </c>
      <c r="C153" s="341"/>
    </row>
    <row r="154" spans="1:3" ht="15" customHeight="1" thickBot="1" x14ac:dyDescent="0.25">
      <c r="A154" s="36" t="s">
        <v>27</v>
      </c>
      <c r="B154" s="150" t="s">
        <v>477</v>
      </c>
      <c r="C154" s="471">
        <f>+C129+C133+C140+C146+C152+C153</f>
        <v>0</v>
      </c>
    </row>
    <row r="155" spans="1:3" ht="13.5" thickBot="1" x14ac:dyDescent="0.25">
      <c r="A155" s="491" t="s">
        <v>28</v>
      </c>
      <c r="B155" s="423" t="s">
        <v>476</v>
      </c>
      <c r="C155" s="471">
        <f>+C128+C154</f>
        <v>0</v>
      </c>
    </row>
    <row r="156" spans="1:3" ht="15" customHeight="1" thickBot="1" x14ac:dyDescent="0.25">
      <c r="A156" s="431"/>
      <c r="B156" s="432"/>
      <c r="C156" s="433"/>
    </row>
    <row r="157" spans="1:3" ht="14.25" customHeight="1" thickBot="1" x14ac:dyDescent="0.25">
      <c r="A157" s="278" t="s">
        <v>521</v>
      </c>
      <c r="B157" s="279"/>
      <c r="C157" s="147"/>
    </row>
    <row r="158" spans="1:3" ht="13.5" thickBot="1" x14ac:dyDescent="0.25">
      <c r="A158" s="278" t="s">
        <v>204</v>
      </c>
      <c r="B158" s="279"/>
      <c r="C158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0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topLeftCell="A31" zoomScaleNormal="100" workbookViewId="0">
      <selection activeCell="C46" sqref="C46:C58"/>
    </sheetView>
  </sheetViews>
  <sheetFormatPr defaultRowHeight="12.75" x14ac:dyDescent="0.2"/>
  <cols>
    <col min="1" max="1" width="13.83203125" style="276" customWidth="1"/>
    <col min="2" max="2" width="79.1640625" style="277" customWidth="1"/>
    <col min="3" max="3" width="25" style="277" customWidth="1"/>
    <col min="4" max="16384" width="9.33203125" style="277"/>
  </cols>
  <sheetData>
    <row r="1" spans="1:3" s="256" customFormat="1" ht="21" customHeight="1" thickBot="1" x14ac:dyDescent="0.25">
      <c r="A1" s="255"/>
      <c r="B1" s="257"/>
      <c r="C1" s="500" t="str">
        <f>+CONCATENATE("9.2. melléklet a 6/",LEFT(ÖSSZEFÜGGÉSEK!A5,4),". (III. 13.) önkormányzati rendelethez")</f>
        <v>9.2. melléklet a 6/2017. (III. 13.) önkormányzati rendelethez</v>
      </c>
    </row>
    <row r="2" spans="1:3" s="501" customFormat="1" ht="25.5" customHeight="1" x14ac:dyDescent="0.2">
      <c r="A2" s="451" t="s">
        <v>202</v>
      </c>
      <c r="B2" s="393" t="s">
        <v>571</v>
      </c>
      <c r="C2" s="407" t="s">
        <v>60</v>
      </c>
    </row>
    <row r="3" spans="1:3" s="501" customFormat="1" ht="24.75" thickBot="1" x14ac:dyDescent="0.25">
      <c r="A3" s="494" t="s">
        <v>201</v>
      </c>
      <c r="B3" s="394" t="s">
        <v>402</v>
      </c>
      <c r="C3" s="408"/>
    </row>
    <row r="4" spans="1:3" s="502" customFormat="1" ht="15.95" customHeight="1" thickBot="1" x14ac:dyDescent="0.3">
      <c r="A4" s="259"/>
      <c r="B4" s="259"/>
      <c r="C4" s="260" t="s">
        <v>578</v>
      </c>
    </row>
    <row r="5" spans="1:3" ht="13.5" thickBot="1" x14ac:dyDescent="0.25">
      <c r="A5" s="452" t="s">
        <v>203</v>
      </c>
      <c r="B5" s="261" t="s">
        <v>567</v>
      </c>
      <c r="C5" s="262" t="s">
        <v>56</v>
      </c>
    </row>
    <row r="6" spans="1:3" s="503" customFormat="1" ht="12.95" customHeight="1" thickBot="1" x14ac:dyDescent="0.25">
      <c r="A6" s="223"/>
      <c r="B6" s="224" t="s">
        <v>496</v>
      </c>
      <c r="C6" s="225" t="s">
        <v>497</v>
      </c>
    </row>
    <row r="7" spans="1:3" s="503" customFormat="1" ht="15.95" customHeight="1" thickBot="1" x14ac:dyDescent="0.25">
      <c r="A7" s="263"/>
      <c r="B7" s="264" t="s">
        <v>57</v>
      </c>
      <c r="C7" s="265"/>
    </row>
    <row r="8" spans="1:3" s="409" customFormat="1" ht="12" customHeight="1" thickBot="1" x14ac:dyDescent="0.25">
      <c r="A8" s="223" t="s">
        <v>18</v>
      </c>
      <c r="B8" s="266" t="s">
        <v>522</v>
      </c>
      <c r="C8" s="352">
        <f>SUM(C9:C19)</f>
        <v>731555</v>
      </c>
    </row>
    <row r="9" spans="1:3" s="409" customFormat="1" ht="12" customHeight="1" x14ac:dyDescent="0.2">
      <c r="A9" s="495" t="s">
        <v>100</v>
      </c>
      <c r="B9" s="10" t="s">
        <v>277</v>
      </c>
      <c r="C9" s="398">
        <f>'9.2.1. sz. mell HIV'!C9+'9.2.2. sz.  mell HIV'!C9+'9.2.3. sz. mell HIV'!C9</f>
        <v>0</v>
      </c>
    </row>
    <row r="10" spans="1:3" s="409" customFormat="1" ht="12" customHeight="1" x14ac:dyDescent="0.2">
      <c r="A10" s="496" t="s">
        <v>101</v>
      </c>
      <c r="B10" s="8" t="s">
        <v>278</v>
      </c>
      <c r="C10" s="350">
        <f>'9.2.1. sz. mell HIV'!C10+'9.2.2. sz.  mell HIV'!C10+'9.2.3. sz. mell HIV'!C10</f>
        <v>566224</v>
      </c>
    </row>
    <row r="11" spans="1:3" s="409" customFormat="1" ht="12" customHeight="1" x14ac:dyDescent="0.2">
      <c r="A11" s="496" t="s">
        <v>102</v>
      </c>
      <c r="B11" s="8" t="s">
        <v>279</v>
      </c>
      <c r="C11" s="350">
        <f>'9.2.1. sz. mell HIV'!C11+'9.2.2. sz.  mell HIV'!C11+'9.2.3. sz. mell HIV'!C11</f>
        <v>0</v>
      </c>
    </row>
    <row r="12" spans="1:3" s="409" customFormat="1" ht="12" customHeight="1" x14ac:dyDescent="0.2">
      <c r="A12" s="496" t="s">
        <v>103</v>
      </c>
      <c r="B12" s="8" t="s">
        <v>280</v>
      </c>
      <c r="C12" s="350">
        <f>'9.2.1. sz. mell HIV'!C12+'9.2.2. sz.  mell HIV'!C12+'9.2.3. sz. mell HIV'!C12</f>
        <v>0</v>
      </c>
    </row>
    <row r="13" spans="1:3" s="409" customFormat="1" ht="12" customHeight="1" x14ac:dyDescent="0.2">
      <c r="A13" s="496" t="s">
        <v>149</v>
      </c>
      <c r="B13" s="8" t="s">
        <v>281</v>
      </c>
      <c r="C13" s="350">
        <f>'9.2.1. sz. mell HIV'!C13+'9.2.2. sz.  mell HIV'!C13+'9.2.3. sz. mell HIV'!C13</f>
        <v>0</v>
      </c>
    </row>
    <row r="14" spans="1:3" s="409" customFormat="1" ht="12" customHeight="1" x14ac:dyDescent="0.2">
      <c r="A14" s="496" t="s">
        <v>104</v>
      </c>
      <c r="B14" s="8" t="s">
        <v>403</v>
      </c>
      <c r="C14" s="350">
        <f>'9.2.1. sz. mell HIV'!C14+'9.2.2. sz.  mell HIV'!C14+'9.2.3. sz. mell HIV'!C14</f>
        <v>165331</v>
      </c>
    </row>
    <row r="15" spans="1:3" s="409" customFormat="1" ht="12" customHeight="1" x14ac:dyDescent="0.2">
      <c r="A15" s="496" t="s">
        <v>105</v>
      </c>
      <c r="B15" s="7" t="s">
        <v>404</v>
      </c>
      <c r="C15" s="350">
        <f>'9.2.1. sz. mell HIV'!C15+'9.2.2. sz.  mell HIV'!C15+'9.2.3. sz. mell HIV'!C15</f>
        <v>0</v>
      </c>
    </row>
    <row r="16" spans="1:3" s="409" customFormat="1" ht="12" customHeight="1" x14ac:dyDescent="0.2">
      <c r="A16" s="496" t="s">
        <v>115</v>
      </c>
      <c r="B16" s="8" t="s">
        <v>284</v>
      </c>
      <c r="C16" s="350">
        <f>'9.2.1. sz. mell HIV'!C16+'9.2.2. sz.  mell HIV'!C16+'9.2.3. sz. mell HIV'!C16</f>
        <v>0</v>
      </c>
    </row>
    <row r="17" spans="1:3" s="504" customFormat="1" ht="12" customHeight="1" x14ac:dyDescent="0.2">
      <c r="A17" s="496" t="s">
        <v>116</v>
      </c>
      <c r="B17" s="8" t="s">
        <v>285</v>
      </c>
      <c r="C17" s="350">
        <f>'9.2.1. sz. mell HIV'!C17+'9.2.2. sz.  mell HIV'!C17+'9.2.3. sz. mell HIV'!C17</f>
        <v>0</v>
      </c>
    </row>
    <row r="18" spans="1:3" s="504" customFormat="1" ht="12" customHeight="1" x14ac:dyDescent="0.2">
      <c r="A18" s="496" t="s">
        <v>117</v>
      </c>
      <c r="B18" s="8" t="s">
        <v>440</v>
      </c>
      <c r="C18" s="350">
        <f>'9.2.1. sz. mell HIV'!C18+'9.2.2. sz.  mell HIV'!C18+'9.2.3. sz. mell HIV'!C18</f>
        <v>0</v>
      </c>
    </row>
    <row r="19" spans="1:3" s="504" customFormat="1" ht="12" customHeight="1" thickBot="1" x14ac:dyDescent="0.25">
      <c r="A19" s="496" t="s">
        <v>118</v>
      </c>
      <c r="B19" s="7" t="s">
        <v>286</v>
      </c>
      <c r="C19" s="349">
        <f>'9.2.1. sz. mell HIV'!C19+'9.2.2. sz.  mell HIV'!C19+'9.2.3. sz. mell HIV'!C19</f>
        <v>0</v>
      </c>
    </row>
    <row r="20" spans="1:3" s="409" customFormat="1" ht="12" customHeight="1" thickBot="1" x14ac:dyDescent="0.25">
      <c r="A20" s="223" t="s">
        <v>19</v>
      </c>
      <c r="B20" s="266" t="s">
        <v>405</v>
      </c>
      <c r="C20" s="352">
        <f>SUM(C21:C23)</f>
        <v>0</v>
      </c>
    </row>
    <row r="21" spans="1:3" s="504" customFormat="1" ht="12" customHeight="1" x14ac:dyDescent="0.2">
      <c r="A21" s="496" t="s">
        <v>106</v>
      </c>
      <c r="B21" s="9" t="s">
        <v>258</v>
      </c>
      <c r="C21" s="350">
        <f>'9.2.1. sz. mell HIV'!C21+'9.2.2. sz.  mell HIV'!C21+'9.2.3. sz. mell HIV'!C21</f>
        <v>0</v>
      </c>
    </row>
    <row r="22" spans="1:3" s="504" customFormat="1" ht="12" customHeight="1" x14ac:dyDescent="0.2">
      <c r="A22" s="496" t="s">
        <v>107</v>
      </c>
      <c r="B22" s="8" t="s">
        <v>406</v>
      </c>
      <c r="C22" s="350">
        <f>'9.2.1. sz. mell HIV'!C22+'9.2.2. sz.  mell HIV'!C22+'9.2.3. sz. mell HIV'!C22</f>
        <v>0</v>
      </c>
    </row>
    <row r="23" spans="1:3" s="504" customFormat="1" ht="12" customHeight="1" x14ac:dyDescent="0.2">
      <c r="A23" s="496" t="s">
        <v>108</v>
      </c>
      <c r="B23" s="8" t="s">
        <v>407</v>
      </c>
      <c r="C23" s="350">
        <f>'9.2.1. sz. mell HIV'!C23+'9.2.2. sz.  mell HIV'!C23+'9.2.3. sz. mell HIV'!C23</f>
        <v>0</v>
      </c>
    </row>
    <row r="24" spans="1:3" s="504" customFormat="1" ht="12" customHeight="1" thickBot="1" x14ac:dyDescent="0.25">
      <c r="A24" s="575" t="s">
        <v>109</v>
      </c>
      <c r="B24" s="12" t="s">
        <v>523</v>
      </c>
      <c r="C24" s="351">
        <f>'9.2.1. sz. mell HIV'!C24+'9.2.2. sz.  mell HIV'!C24+'9.2.3. sz. mell HIV'!C24</f>
        <v>0</v>
      </c>
    </row>
    <row r="25" spans="1:3" s="504" customFormat="1" ht="12" customHeight="1" thickBot="1" x14ac:dyDescent="0.25">
      <c r="A25" s="230" t="s">
        <v>20</v>
      </c>
      <c r="B25" s="573" t="s">
        <v>172</v>
      </c>
      <c r="C25" s="578">
        <f>'9.2.1. sz. mell HIV'!C25+'9.2.2. sz.  mell HIV'!C25+'9.2.3. sz. mell HIV'!C25</f>
        <v>50000</v>
      </c>
    </row>
    <row r="26" spans="1:3" s="504" customFormat="1" ht="12" customHeight="1" thickBot="1" x14ac:dyDescent="0.25">
      <c r="A26" s="576" t="s">
        <v>21</v>
      </c>
      <c r="B26" s="577" t="s">
        <v>524</v>
      </c>
      <c r="C26" s="574">
        <f>+C27+C28+C29</f>
        <v>0</v>
      </c>
    </row>
    <row r="27" spans="1:3" s="504" customFormat="1" ht="12" customHeight="1" x14ac:dyDescent="0.2">
      <c r="A27" s="497" t="s">
        <v>268</v>
      </c>
      <c r="B27" s="498" t="s">
        <v>263</v>
      </c>
      <c r="C27" s="94">
        <f>'9.2.1. sz. mell HIV'!C27+'9.2.2. sz.  mell HIV'!C27+'9.2.3. sz. mell HIV'!C27</f>
        <v>0</v>
      </c>
    </row>
    <row r="28" spans="1:3" s="504" customFormat="1" ht="12" customHeight="1" x14ac:dyDescent="0.2">
      <c r="A28" s="497" t="s">
        <v>269</v>
      </c>
      <c r="B28" s="498" t="s">
        <v>406</v>
      </c>
      <c r="C28" s="94">
        <f>'9.2.1. sz. mell HIV'!C28+'9.2.2. sz.  mell HIV'!C28+'9.2.3. sz. mell HIV'!C28</f>
        <v>0</v>
      </c>
    </row>
    <row r="29" spans="1:3" s="504" customFormat="1" ht="12" customHeight="1" x14ac:dyDescent="0.2">
      <c r="A29" s="497" t="s">
        <v>270</v>
      </c>
      <c r="B29" s="499" t="s">
        <v>409</v>
      </c>
      <c r="C29" s="94">
        <f>'9.2.1. sz. mell HIV'!C29+'9.2.2. sz.  mell HIV'!C29+'9.2.3. sz. mell HIV'!C29</f>
        <v>0</v>
      </c>
    </row>
    <row r="30" spans="1:3" s="504" customFormat="1" ht="12" customHeight="1" thickBot="1" x14ac:dyDescent="0.25">
      <c r="A30" s="496" t="s">
        <v>271</v>
      </c>
      <c r="B30" s="166" t="s">
        <v>525</v>
      </c>
      <c r="C30" s="94">
        <f>'9.2.1. sz. mell HIV'!C30+'9.2.2. sz.  mell HIV'!C30+'9.2.3. sz. mell HIV'!C30</f>
        <v>0</v>
      </c>
    </row>
    <row r="31" spans="1:3" s="504" customFormat="1" ht="12" customHeight="1" thickBot="1" x14ac:dyDescent="0.25">
      <c r="A31" s="230" t="s">
        <v>22</v>
      </c>
      <c r="B31" s="150" t="s">
        <v>410</v>
      </c>
      <c r="C31" s="352">
        <f>+C32+C33+C34</f>
        <v>0</v>
      </c>
    </row>
    <row r="32" spans="1:3" s="504" customFormat="1" ht="12" customHeight="1" x14ac:dyDescent="0.2">
      <c r="A32" s="497" t="s">
        <v>93</v>
      </c>
      <c r="B32" s="498" t="s">
        <v>291</v>
      </c>
      <c r="C32" s="94">
        <f>'9.2.1. sz. mell HIV'!C32+'9.2.2. sz.  mell HIV'!C32+'9.2.3. sz. mell HIV'!C32</f>
        <v>0</v>
      </c>
    </row>
    <row r="33" spans="1:3" s="504" customFormat="1" ht="12" customHeight="1" x14ac:dyDescent="0.2">
      <c r="A33" s="497" t="s">
        <v>94</v>
      </c>
      <c r="B33" s="499" t="s">
        <v>292</v>
      </c>
      <c r="C33" s="94">
        <f>'9.2.1. sz. mell HIV'!C33+'9.2.2. sz.  mell HIV'!C33+'9.2.3. sz. mell HIV'!C33</f>
        <v>0</v>
      </c>
    </row>
    <row r="34" spans="1:3" s="504" customFormat="1" ht="12" customHeight="1" thickBot="1" x14ac:dyDescent="0.25">
      <c r="A34" s="496" t="s">
        <v>95</v>
      </c>
      <c r="B34" s="166" t="s">
        <v>293</v>
      </c>
      <c r="C34" s="94">
        <f>'9.2.1. sz. mell HIV'!C34+'9.2.2. sz.  mell HIV'!C34+'9.2.3. sz. mell HIV'!C34</f>
        <v>0</v>
      </c>
    </row>
    <row r="35" spans="1:3" s="409" customFormat="1" ht="12" customHeight="1" thickBot="1" x14ac:dyDescent="0.25">
      <c r="A35" s="230" t="s">
        <v>23</v>
      </c>
      <c r="B35" s="150" t="s">
        <v>379</v>
      </c>
      <c r="C35" s="379">
        <f>'9.2.1. sz. mell HIV'!C35+'9.2.2. sz.  mell HIV'!C35+'9.2.3. sz. mell HIV'!C35</f>
        <v>0</v>
      </c>
    </row>
    <row r="36" spans="1:3" s="409" customFormat="1" ht="12" customHeight="1" thickBot="1" x14ac:dyDescent="0.25">
      <c r="A36" s="230" t="s">
        <v>24</v>
      </c>
      <c r="B36" s="150" t="s">
        <v>411</v>
      </c>
      <c r="C36" s="379">
        <f>'9.2.1. sz. mell HIV'!C36+'9.2.2. sz.  mell HIV'!C36+'9.2.3. sz. mell HIV'!C36</f>
        <v>0</v>
      </c>
    </row>
    <row r="37" spans="1:3" s="409" customFormat="1" ht="12" customHeight="1" thickBot="1" x14ac:dyDescent="0.25">
      <c r="A37" s="223" t="s">
        <v>25</v>
      </c>
      <c r="B37" s="150" t="s">
        <v>412</v>
      </c>
      <c r="C37" s="401">
        <f>+C8+C20+C25+C26+C31+C35+C36</f>
        <v>781555</v>
      </c>
    </row>
    <row r="38" spans="1:3" s="409" customFormat="1" ht="12" customHeight="1" thickBot="1" x14ac:dyDescent="0.25">
      <c r="A38" s="267" t="s">
        <v>26</v>
      </c>
      <c r="B38" s="150" t="s">
        <v>413</v>
      </c>
      <c r="C38" s="401">
        <f>+C39+C40+C41</f>
        <v>112934826</v>
      </c>
    </row>
    <row r="39" spans="1:3" s="409" customFormat="1" ht="12" customHeight="1" x14ac:dyDescent="0.2">
      <c r="A39" s="497" t="s">
        <v>414</v>
      </c>
      <c r="B39" s="498" t="s">
        <v>236</v>
      </c>
      <c r="C39" s="94">
        <f>'9.2.1. sz. mell HIV'!C39+'9.2.2. sz.  mell HIV'!C39+'9.2.3. sz. mell HIV'!C39</f>
        <v>0</v>
      </c>
    </row>
    <row r="40" spans="1:3" s="409" customFormat="1" ht="12" customHeight="1" x14ac:dyDescent="0.2">
      <c r="A40" s="497" t="s">
        <v>415</v>
      </c>
      <c r="B40" s="499" t="s">
        <v>2</v>
      </c>
      <c r="C40" s="94">
        <f>'9.2.1. sz. mell HIV'!C40+'9.2.2. sz.  mell HIV'!C40+'9.2.3. sz. mell HIV'!C40</f>
        <v>0</v>
      </c>
    </row>
    <row r="41" spans="1:3" s="504" customFormat="1" ht="12" customHeight="1" thickBot="1" x14ac:dyDescent="0.25">
      <c r="A41" s="496" t="s">
        <v>416</v>
      </c>
      <c r="B41" s="166" t="s">
        <v>417</v>
      </c>
      <c r="C41" s="101">
        <f>'9.2.1. sz. mell HIV'!C41+'9.2.2. sz.  mell HIV'!C41+'9.2.3. sz. mell HIV'!C41</f>
        <v>112934826</v>
      </c>
    </row>
    <row r="42" spans="1:3" s="504" customFormat="1" ht="15" customHeight="1" thickBot="1" x14ac:dyDescent="0.25">
      <c r="A42" s="267" t="s">
        <v>27</v>
      </c>
      <c r="B42" s="268" t="s">
        <v>418</v>
      </c>
      <c r="C42" s="404">
        <f>+C37+C38</f>
        <v>113716381</v>
      </c>
    </row>
    <row r="43" spans="1:3" s="504" customFormat="1" ht="15" customHeight="1" x14ac:dyDescent="0.2">
      <c r="A43" s="269"/>
      <c r="B43" s="270"/>
      <c r="C43" s="402"/>
    </row>
    <row r="44" spans="1:3" ht="13.5" thickBot="1" x14ac:dyDescent="0.25">
      <c r="A44" s="271"/>
      <c r="B44" s="272"/>
      <c r="C44" s="403"/>
    </row>
    <row r="45" spans="1:3" s="503" customFormat="1" ht="16.5" customHeight="1" thickBot="1" x14ac:dyDescent="0.25">
      <c r="A45" s="273"/>
      <c r="B45" s="274" t="s">
        <v>58</v>
      </c>
      <c r="C45" s="404"/>
    </row>
    <row r="46" spans="1:3" s="505" customFormat="1" ht="12" customHeight="1" thickBot="1" x14ac:dyDescent="0.25">
      <c r="A46" s="230" t="s">
        <v>18</v>
      </c>
      <c r="B46" s="150" t="s">
        <v>419</v>
      </c>
      <c r="C46" s="352">
        <f>SUM(C47:C51)</f>
        <v>113208381</v>
      </c>
    </row>
    <row r="47" spans="1:3" ht="12" customHeight="1" x14ac:dyDescent="0.2">
      <c r="A47" s="496" t="s">
        <v>100</v>
      </c>
      <c r="B47" s="9" t="s">
        <v>49</v>
      </c>
      <c r="C47" s="94">
        <f>'9.2.1. sz. mell HIV'!C47+'9.2.2. sz.  mell HIV'!C47+'9.2.3. sz. mell HIV'!C47</f>
        <v>72633104</v>
      </c>
    </row>
    <row r="48" spans="1:3" ht="12" customHeight="1" x14ac:dyDescent="0.2">
      <c r="A48" s="496" t="s">
        <v>101</v>
      </c>
      <c r="B48" s="8" t="s">
        <v>181</v>
      </c>
      <c r="C48" s="94">
        <f>'9.2.1. sz. mell HIV'!C48+'9.2.2. sz.  mell HIV'!C48+'9.2.3. sz. mell HIV'!C48</f>
        <v>17395651</v>
      </c>
    </row>
    <row r="49" spans="1:3" ht="12" customHeight="1" x14ac:dyDescent="0.2">
      <c r="A49" s="496" t="s">
        <v>102</v>
      </c>
      <c r="B49" s="8" t="s">
        <v>142</v>
      </c>
      <c r="C49" s="94">
        <f>'9.2.1. sz. mell HIV'!C49+'9.2.2. sz.  mell HIV'!C49+'9.2.3. sz. mell HIV'!C49</f>
        <v>23179626</v>
      </c>
    </row>
    <row r="50" spans="1:3" ht="12" customHeight="1" x14ac:dyDescent="0.2">
      <c r="A50" s="496" t="s">
        <v>103</v>
      </c>
      <c r="B50" s="8" t="s">
        <v>182</v>
      </c>
      <c r="C50" s="94">
        <f>'9.2.1. sz. mell HIV'!C50+'9.2.2. sz.  mell HIV'!C50+'9.2.3. sz. mell HIV'!C50</f>
        <v>0</v>
      </c>
    </row>
    <row r="51" spans="1:3" ht="12" customHeight="1" thickBot="1" x14ac:dyDescent="0.25">
      <c r="A51" s="496" t="s">
        <v>149</v>
      </c>
      <c r="B51" s="8" t="s">
        <v>183</v>
      </c>
      <c r="C51" s="94">
        <f>'9.2.1. sz. mell HIV'!C51+'9.2.2. sz.  mell HIV'!C51+'9.2.3. sz. mell HIV'!C51</f>
        <v>0</v>
      </c>
    </row>
    <row r="52" spans="1:3" ht="12" customHeight="1" thickBot="1" x14ac:dyDescent="0.25">
      <c r="A52" s="230" t="s">
        <v>19</v>
      </c>
      <c r="B52" s="150" t="s">
        <v>420</v>
      </c>
      <c r="C52" s="352">
        <f>SUM(C53:C55)</f>
        <v>508000</v>
      </c>
    </row>
    <row r="53" spans="1:3" s="505" customFormat="1" ht="12" customHeight="1" x14ac:dyDescent="0.2">
      <c r="A53" s="496" t="s">
        <v>106</v>
      </c>
      <c r="B53" s="9" t="s">
        <v>226</v>
      </c>
      <c r="C53" s="94">
        <f>'9.2.1. sz. mell HIV'!C53+'9.2.2. sz.  mell HIV'!C53+'9.2.3. sz. mell HIV'!C53</f>
        <v>508000</v>
      </c>
    </row>
    <row r="54" spans="1:3" ht="12" customHeight="1" x14ac:dyDescent="0.2">
      <c r="A54" s="496" t="s">
        <v>107</v>
      </c>
      <c r="B54" s="8" t="s">
        <v>185</v>
      </c>
      <c r="C54" s="94">
        <f>'9.2.1. sz. mell HIV'!C54+'9.2.2. sz.  mell HIV'!C54+'9.2.3. sz. mell HIV'!C54</f>
        <v>0</v>
      </c>
    </row>
    <row r="55" spans="1:3" ht="12" customHeight="1" x14ac:dyDescent="0.2">
      <c r="A55" s="496" t="s">
        <v>108</v>
      </c>
      <c r="B55" s="8" t="s">
        <v>59</v>
      </c>
      <c r="C55" s="94">
        <f>'9.2.1. sz. mell HIV'!C55+'9.2.2. sz.  mell HIV'!C55+'9.2.3. sz. mell HIV'!C55</f>
        <v>0</v>
      </c>
    </row>
    <row r="56" spans="1:3" ht="12" customHeight="1" thickBot="1" x14ac:dyDescent="0.25">
      <c r="A56" s="496" t="s">
        <v>109</v>
      </c>
      <c r="B56" s="8" t="s">
        <v>526</v>
      </c>
      <c r="C56" s="94">
        <f>'9.2.1. sz. mell HIV'!C56+'9.2.2. sz.  mell HIV'!C56+'9.2.3. sz. mell HIV'!C56</f>
        <v>0</v>
      </c>
    </row>
    <row r="57" spans="1:3" ht="12" customHeight="1" thickBot="1" x14ac:dyDescent="0.25">
      <c r="A57" s="230" t="s">
        <v>20</v>
      </c>
      <c r="B57" s="150" t="s">
        <v>12</v>
      </c>
      <c r="C57" s="379"/>
    </row>
    <row r="58" spans="1:3" ht="15" customHeight="1" thickBot="1" x14ac:dyDescent="0.25">
      <c r="A58" s="230" t="s">
        <v>21</v>
      </c>
      <c r="B58" s="275" t="s">
        <v>533</v>
      </c>
      <c r="C58" s="405">
        <f>+C46+C52+C57</f>
        <v>113716381</v>
      </c>
    </row>
    <row r="59" spans="1:3" ht="13.5" thickBot="1" x14ac:dyDescent="0.25">
      <c r="C59" s="406"/>
    </row>
    <row r="60" spans="1:3" ht="15" customHeight="1" thickBot="1" x14ac:dyDescent="0.25">
      <c r="A60" s="278" t="s">
        <v>521</v>
      </c>
      <c r="B60" s="279"/>
      <c r="C60" s="147">
        <f>'9.2.1. sz. mell HIV'!C60+'9.2.2. sz.  mell HIV'!C60+'9.2.3. sz. mell HIV'!C60</f>
        <v>24</v>
      </c>
    </row>
    <row r="61" spans="1:3" ht="14.25" customHeight="1" thickBot="1" x14ac:dyDescent="0.25">
      <c r="A61" s="278" t="s">
        <v>204</v>
      </c>
      <c r="B61" s="279"/>
      <c r="C61" s="147"/>
    </row>
  </sheetData>
  <sheetProtection formatCells="0"/>
  <phoneticPr fontId="3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>
    <tabColor rgb="FF92D050"/>
  </sheetPr>
  <dimension ref="A1:I159"/>
  <sheetViews>
    <sheetView view="pageLayout" zoomScaleNormal="130" zoomScaleSheetLayoutView="100" workbookViewId="0">
      <selection activeCell="C5" sqref="C5:C87"/>
    </sheetView>
  </sheetViews>
  <sheetFormatPr defaultRowHeight="15.75" x14ac:dyDescent="0.25"/>
  <cols>
    <col min="1" max="1" width="9.5" style="424" customWidth="1"/>
    <col min="2" max="2" width="91.6640625" style="424" customWidth="1"/>
    <col min="3" max="3" width="21.6640625" style="425" customWidth="1"/>
    <col min="4" max="4" width="9" style="458" customWidth="1"/>
    <col min="5" max="16384" width="9.33203125" style="458"/>
  </cols>
  <sheetData>
    <row r="1" spans="1:3" ht="15.95" customHeight="1" x14ac:dyDescent="0.25">
      <c r="A1" s="670" t="s">
        <v>15</v>
      </c>
      <c r="B1" s="670"/>
      <c r="C1" s="670"/>
    </row>
    <row r="2" spans="1:3" ht="15.95" customHeight="1" thickBot="1" x14ac:dyDescent="0.3">
      <c r="A2" s="671" t="s">
        <v>153</v>
      </c>
      <c r="B2" s="671"/>
      <c r="C2" s="342" t="s">
        <v>579</v>
      </c>
    </row>
    <row r="3" spans="1:3" ht="38.1" customHeight="1" thickBot="1" x14ac:dyDescent="0.3">
      <c r="A3" s="23" t="s">
        <v>71</v>
      </c>
      <c r="B3" s="24" t="s">
        <v>17</v>
      </c>
      <c r="C3" s="44" t="str">
        <f>+CONCATENATE(LEFT(ÖSSZEFÜGGÉSEK!A5,4),". évi előirányzat")</f>
        <v>2017. évi előirányzat</v>
      </c>
    </row>
    <row r="4" spans="1:3" s="459" customFormat="1" ht="12" customHeight="1" thickBot="1" x14ac:dyDescent="0.25">
      <c r="A4" s="453"/>
      <c r="B4" s="454" t="s">
        <v>496</v>
      </c>
      <c r="C4" s="455" t="s">
        <v>497</v>
      </c>
    </row>
    <row r="5" spans="1:3" s="460" customFormat="1" ht="12" customHeight="1" thickBot="1" x14ac:dyDescent="0.25">
      <c r="A5" s="20" t="s">
        <v>18</v>
      </c>
      <c r="B5" s="21" t="s">
        <v>252</v>
      </c>
      <c r="C5" s="332">
        <f>+C6+C7+C8+C9+C10+C11</f>
        <v>518175431</v>
      </c>
    </row>
    <row r="6" spans="1:3" s="460" customFormat="1" ht="12" customHeight="1" x14ac:dyDescent="0.2">
      <c r="A6" s="15" t="s">
        <v>100</v>
      </c>
      <c r="B6" s="461" t="s">
        <v>253</v>
      </c>
      <c r="C6" s="335">
        <f>'9.1. sz. mell ÖNK'!C9</f>
        <v>198486000</v>
      </c>
    </row>
    <row r="7" spans="1:3" s="460" customFormat="1" ht="12" customHeight="1" x14ac:dyDescent="0.2">
      <c r="A7" s="14" t="s">
        <v>101</v>
      </c>
      <c r="B7" s="462" t="s">
        <v>254</v>
      </c>
      <c r="C7" s="335">
        <f>'9.1. sz. mell ÖNK'!C10</f>
        <v>102967135</v>
      </c>
    </row>
    <row r="8" spans="1:3" s="460" customFormat="1" ht="12" customHeight="1" x14ac:dyDescent="0.2">
      <c r="A8" s="14" t="s">
        <v>102</v>
      </c>
      <c r="B8" s="462" t="s">
        <v>554</v>
      </c>
      <c r="C8" s="335">
        <f>'9.1. sz. mell ÖNK'!C11</f>
        <v>181251535</v>
      </c>
    </row>
    <row r="9" spans="1:3" s="460" customFormat="1" ht="12" customHeight="1" x14ac:dyDescent="0.2">
      <c r="A9" s="14" t="s">
        <v>103</v>
      </c>
      <c r="B9" s="462" t="s">
        <v>256</v>
      </c>
      <c r="C9" s="335">
        <f>'9.1. sz. mell ÖNK'!C12</f>
        <v>7966320</v>
      </c>
    </row>
    <row r="10" spans="1:3" s="460" customFormat="1" ht="12" customHeight="1" x14ac:dyDescent="0.2">
      <c r="A10" s="14" t="s">
        <v>149</v>
      </c>
      <c r="B10" s="328" t="s">
        <v>436</v>
      </c>
      <c r="C10" s="335">
        <f>'9.1. sz. mell ÖNK'!C13</f>
        <v>27504441</v>
      </c>
    </row>
    <row r="11" spans="1:3" s="460" customFormat="1" ht="12" customHeight="1" thickBot="1" x14ac:dyDescent="0.25">
      <c r="A11" s="16" t="s">
        <v>104</v>
      </c>
      <c r="B11" s="329" t="s">
        <v>437</v>
      </c>
      <c r="C11" s="335">
        <f>'9.1. sz. mell ÖNK'!C14</f>
        <v>0</v>
      </c>
    </row>
    <row r="12" spans="1:3" s="460" customFormat="1" ht="12" customHeight="1" thickBot="1" x14ac:dyDescent="0.25">
      <c r="A12" s="20" t="s">
        <v>19</v>
      </c>
      <c r="B12" s="327" t="s">
        <v>257</v>
      </c>
      <c r="C12" s="332">
        <f>+C13+C14+C15+C16+C17</f>
        <v>511984666</v>
      </c>
    </row>
    <row r="13" spans="1:3" s="460" customFormat="1" ht="12" customHeight="1" x14ac:dyDescent="0.2">
      <c r="A13" s="15" t="s">
        <v>106</v>
      </c>
      <c r="B13" s="461" t="s">
        <v>258</v>
      </c>
      <c r="C13" s="335">
        <f>'9.1. sz. mell ÖNK'!C16</f>
        <v>0</v>
      </c>
    </row>
    <row r="14" spans="1:3" s="460" customFormat="1" ht="12" customHeight="1" x14ac:dyDescent="0.2">
      <c r="A14" s="14" t="s">
        <v>107</v>
      </c>
      <c r="B14" s="462" t="s">
        <v>259</v>
      </c>
      <c r="C14" s="335">
        <f>'9.1. sz. mell ÖNK'!C17</f>
        <v>0</v>
      </c>
    </row>
    <row r="15" spans="1:3" s="460" customFormat="1" ht="12" customHeight="1" x14ac:dyDescent="0.2">
      <c r="A15" s="14" t="s">
        <v>108</v>
      </c>
      <c r="B15" s="462" t="s">
        <v>426</v>
      </c>
      <c r="C15" s="335">
        <f>'9.1. sz. mell ÖNK'!C18</f>
        <v>0</v>
      </c>
    </row>
    <row r="16" spans="1:3" s="460" customFormat="1" ht="12" customHeight="1" x14ac:dyDescent="0.2">
      <c r="A16" s="14" t="s">
        <v>109</v>
      </c>
      <c r="B16" s="462" t="s">
        <v>427</v>
      </c>
      <c r="C16" s="335">
        <f>'9.1. sz. mell ÖNK'!C19</f>
        <v>0</v>
      </c>
    </row>
    <row r="17" spans="1:3" s="460" customFormat="1" ht="12" customHeight="1" x14ac:dyDescent="0.2">
      <c r="A17" s="14" t="s">
        <v>110</v>
      </c>
      <c r="B17" s="462" t="s">
        <v>260</v>
      </c>
      <c r="C17" s="335">
        <f>'9.1. sz. mell ÖNK'!C20+'9.4. sz. mell ILMKS'!C23</f>
        <v>511984666</v>
      </c>
    </row>
    <row r="18" spans="1:3" s="460" customFormat="1" ht="12" customHeight="1" thickBot="1" x14ac:dyDescent="0.25">
      <c r="A18" s="16" t="s">
        <v>119</v>
      </c>
      <c r="B18" s="329" t="s">
        <v>261</v>
      </c>
      <c r="C18" s="335">
        <f>'9.1. sz. mell ÖNK'!C21</f>
        <v>46082295</v>
      </c>
    </row>
    <row r="19" spans="1:3" s="460" customFormat="1" ht="12" customHeight="1" thickBot="1" x14ac:dyDescent="0.25">
      <c r="A19" s="20" t="s">
        <v>20</v>
      </c>
      <c r="B19" s="21" t="s">
        <v>262</v>
      </c>
      <c r="C19" s="332">
        <f>+C20+C21+C22+C23+C24</f>
        <v>445842552</v>
      </c>
    </row>
    <row r="20" spans="1:3" s="460" customFormat="1" ht="12" customHeight="1" x14ac:dyDescent="0.2">
      <c r="A20" s="15" t="s">
        <v>89</v>
      </c>
      <c r="B20" s="461" t="s">
        <v>263</v>
      </c>
      <c r="C20" s="335">
        <f>'9.1. sz. mell ÖNK'!C23</f>
        <v>0</v>
      </c>
    </row>
    <row r="21" spans="1:3" s="460" customFormat="1" ht="12" customHeight="1" x14ac:dyDescent="0.2">
      <c r="A21" s="14" t="s">
        <v>90</v>
      </c>
      <c r="B21" s="462" t="s">
        <v>264</v>
      </c>
      <c r="C21" s="335">
        <f>'9.1. sz. mell ÖNK'!C24</f>
        <v>0</v>
      </c>
    </row>
    <row r="22" spans="1:3" s="460" customFormat="1" ht="12" customHeight="1" x14ac:dyDescent="0.2">
      <c r="A22" s="14" t="s">
        <v>91</v>
      </c>
      <c r="B22" s="462" t="s">
        <v>428</v>
      </c>
      <c r="C22" s="335">
        <f>'9.1. sz. mell ÖNK'!C25</f>
        <v>0</v>
      </c>
    </row>
    <row r="23" spans="1:3" s="460" customFormat="1" ht="12" customHeight="1" x14ac:dyDescent="0.2">
      <c r="A23" s="14" t="s">
        <v>92</v>
      </c>
      <c r="B23" s="462" t="s">
        <v>429</v>
      </c>
      <c r="C23" s="335">
        <f>'9.1. sz. mell ÖNK'!C26</f>
        <v>0</v>
      </c>
    </row>
    <row r="24" spans="1:3" s="460" customFormat="1" ht="12" customHeight="1" x14ac:dyDescent="0.2">
      <c r="A24" s="14" t="s">
        <v>169</v>
      </c>
      <c r="B24" s="462" t="s">
        <v>265</v>
      </c>
      <c r="C24" s="335">
        <f>'9.1. sz. mell ÖNK'!C27</f>
        <v>445842552</v>
      </c>
    </row>
    <row r="25" spans="1:3" s="460" customFormat="1" ht="12" customHeight="1" thickBot="1" x14ac:dyDescent="0.25">
      <c r="A25" s="16" t="s">
        <v>170</v>
      </c>
      <c r="B25" s="463" t="s">
        <v>266</v>
      </c>
      <c r="C25" s="335">
        <f>'9.1. sz. mell ÖNK'!C28</f>
        <v>129589139</v>
      </c>
    </row>
    <row r="26" spans="1:3" s="460" customFormat="1" ht="12" customHeight="1" thickBot="1" x14ac:dyDescent="0.25">
      <c r="A26" s="20" t="s">
        <v>171</v>
      </c>
      <c r="B26" s="21" t="s">
        <v>555</v>
      </c>
      <c r="C26" s="338">
        <f>SUM(C27:C33)+'9.2. sz. mell HIV'!C25</f>
        <v>100808000</v>
      </c>
    </row>
    <row r="27" spans="1:3" s="460" customFormat="1" ht="12" customHeight="1" x14ac:dyDescent="0.2">
      <c r="A27" s="15" t="s">
        <v>268</v>
      </c>
      <c r="B27" s="461" t="s">
        <v>559</v>
      </c>
      <c r="C27" s="335">
        <f>'9.1. sz. mell ÖNK'!C30</f>
        <v>13000000</v>
      </c>
    </row>
    <row r="28" spans="1:3" s="460" customFormat="1" ht="12" customHeight="1" x14ac:dyDescent="0.2">
      <c r="A28" s="14" t="s">
        <v>269</v>
      </c>
      <c r="B28" s="462" t="s">
        <v>560</v>
      </c>
      <c r="C28" s="335">
        <f>'9.1. sz. mell ÖNK'!C31</f>
        <v>15000</v>
      </c>
    </row>
    <row r="29" spans="1:3" s="460" customFormat="1" ht="12" customHeight="1" x14ac:dyDescent="0.2">
      <c r="A29" s="14" t="s">
        <v>270</v>
      </c>
      <c r="B29" s="462" t="s">
        <v>561</v>
      </c>
      <c r="C29" s="335">
        <f>'9.1. sz. mell ÖNK'!C32</f>
        <v>71200000</v>
      </c>
    </row>
    <row r="30" spans="1:3" s="460" customFormat="1" ht="12" customHeight="1" x14ac:dyDescent="0.2">
      <c r="A30" s="14" t="s">
        <v>271</v>
      </c>
      <c r="B30" s="462" t="s">
        <v>562</v>
      </c>
      <c r="C30" s="335">
        <f>'9.1. sz. mell ÖNK'!C33</f>
        <v>40000</v>
      </c>
    </row>
    <row r="31" spans="1:3" s="460" customFormat="1" ht="12" customHeight="1" x14ac:dyDescent="0.2">
      <c r="A31" s="14" t="s">
        <v>556</v>
      </c>
      <c r="B31" s="462" t="s">
        <v>272</v>
      </c>
      <c r="C31" s="335">
        <f>'9.1. sz. mell ÖNK'!C34</f>
        <v>13500000</v>
      </c>
    </row>
    <row r="32" spans="1:3" s="460" customFormat="1" ht="12" customHeight="1" x14ac:dyDescent="0.2">
      <c r="A32" s="14" t="s">
        <v>557</v>
      </c>
      <c r="B32" s="462" t="s">
        <v>273</v>
      </c>
      <c r="C32" s="335">
        <f>'9.1. sz. mell ÖNK'!C35</f>
        <v>0</v>
      </c>
    </row>
    <row r="33" spans="1:3" s="460" customFormat="1" ht="12" customHeight="1" thickBot="1" x14ac:dyDescent="0.25">
      <c r="A33" s="16" t="s">
        <v>558</v>
      </c>
      <c r="B33" s="566" t="s">
        <v>274</v>
      </c>
      <c r="C33" s="335">
        <f>'9.1. sz. mell ÖNK'!C36</f>
        <v>3003000</v>
      </c>
    </row>
    <row r="34" spans="1:3" s="460" customFormat="1" ht="12" customHeight="1" thickBot="1" x14ac:dyDescent="0.25">
      <c r="A34" s="20" t="s">
        <v>22</v>
      </c>
      <c r="B34" s="21" t="s">
        <v>438</v>
      </c>
      <c r="C34" s="332">
        <f>SUM(C35:C45)</f>
        <v>105549299</v>
      </c>
    </row>
    <row r="35" spans="1:3" s="460" customFormat="1" ht="12" customHeight="1" x14ac:dyDescent="0.2">
      <c r="A35" s="15" t="s">
        <v>93</v>
      </c>
      <c r="B35" s="461" t="s">
        <v>277</v>
      </c>
      <c r="C35" s="335">
        <f>'9.1. sz. mell ÖNK'!C38+'9.2. sz. mell HIV'!C9+'9.3. sz. mell GAM'!C9+'9.4. sz. mell ILMKS'!C9+'9.5. sz. mell OVI'!C9</f>
        <v>8814213</v>
      </c>
    </row>
    <row r="36" spans="1:3" s="460" customFormat="1" ht="12" customHeight="1" x14ac:dyDescent="0.2">
      <c r="A36" s="14" t="s">
        <v>94</v>
      </c>
      <c r="B36" s="462" t="s">
        <v>278</v>
      </c>
      <c r="C36" s="335">
        <f>'9.1. sz. mell ÖNK'!C39+'9.2. sz. mell HIV'!C10+'9.3. sz. mell GAM'!C10+'9.4. sz. mell ILMKS'!C10+'9.5. sz. mell OVI'!C10</f>
        <v>40924084</v>
      </c>
    </row>
    <row r="37" spans="1:3" s="460" customFormat="1" ht="12" customHeight="1" x14ac:dyDescent="0.2">
      <c r="A37" s="14" t="s">
        <v>95</v>
      </c>
      <c r="B37" s="462" t="s">
        <v>279</v>
      </c>
      <c r="C37" s="335">
        <f>'9.1. sz. mell ÖNK'!C40+'9.2. sz. mell HIV'!C11+'9.3. sz. mell GAM'!C11+'9.4. sz. mell ILMKS'!C11+'9.5. sz. mell OVI'!C11</f>
        <v>2247509</v>
      </c>
    </row>
    <row r="38" spans="1:3" s="460" customFormat="1" ht="12" customHeight="1" x14ac:dyDescent="0.2">
      <c r="A38" s="14" t="s">
        <v>173</v>
      </c>
      <c r="B38" s="462" t="s">
        <v>280</v>
      </c>
      <c r="C38" s="335">
        <f>'9.1. sz. mell ÖNK'!C41+'9.2. sz. mell HIV'!C12+'9.3. sz. mell GAM'!C12+'9.4. sz. mell ILMKS'!C12+'9.5. sz. mell OVI'!C12</f>
        <v>3500000</v>
      </c>
    </row>
    <row r="39" spans="1:3" s="460" customFormat="1" ht="12" customHeight="1" x14ac:dyDescent="0.2">
      <c r="A39" s="14" t="s">
        <v>174</v>
      </c>
      <c r="B39" s="462" t="s">
        <v>281</v>
      </c>
      <c r="C39" s="335">
        <f>'9.1. sz. mell ÖNK'!C42+'9.2. sz. mell HIV'!C13+'9.3. sz. mell GAM'!C13+'9.4. sz. mell ILMKS'!C13+'9.5. sz. mell OVI'!C13</f>
        <v>28000876</v>
      </c>
    </row>
    <row r="40" spans="1:3" s="460" customFormat="1" ht="12" customHeight="1" x14ac:dyDescent="0.2">
      <c r="A40" s="14" t="s">
        <v>175</v>
      </c>
      <c r="B40" s="462" t="s">
        <v>282</v>
      </c>
      <c r="C40" s="335">
        <f>'9.1. sz. mell ÖNK'!C43+'9.2. sz. mell HIV'!C14+'9.3. sz. mell GAM'!C14+'9.4. sz. mell ILMKS'!C14+'9.5. sz. mell OVI'!C14</f>
        <v>22034229</v>
      </c>
    </row>
    <row r="41" spans="1:3" s="460" customFormat="1" ht="12" customHeight="1" x14ac:dyDescent="0.2">
      <c r="A41" s="14" t="s">
        <v>176</v>
      </c>
      <c r="B41" s="462" t="s">
        <v>283</v>
      </c>
      <c r="C41" s="335">
        <f>'9.1. sz. mell ÖNK'!C44+'9.2. sz. mell HIV'!C15+'9.3. sz. mell GAM'!C15+'9.4. sz. mell ILMKS'!C15+'9.5. sz. mell OVI'!C15</f>
        <v>0</v>
      </c>
    </row>
    <row r="42" spans="1:3" s="460" customFormat="1" ht="12" customHeight="1" x14ac:dyDescent="0.2">
      <c r="A42" s="14" t="s">
        <v>177</v>
      </c>
      <c r="B42" s="462" t="s">
        <v>563</v>
      </c>
      <c r="C42" s="335">
        <f>'9.1. sz. mell ÖNK'!C45+'9.2. sz. mell HIV'!C16+'9.3. sz. mell GAM'!C16+'9.4. sz. mell ILMKS'!C16+'9.5. sz. mell OVI'!C16</f>
        <v>100</v>
      </c>
    </row>
    <row r="43" spans="1:3" s="460" customFormat="1" ht="12" customHeight="1" x14ac:dyDescent="0.2">
      <c r="A43" s="14" t="s">
        <v>275</v>
      </c>
      <c r="B43" s="462" t="s">
        <v>285</v>
      </c>
      <c r="C43" s="335">
        <f>'9.1. sz. mell ÖNK'!C46+'9.2. sz. mell HIV'!C17+'9.3. sz. mell GAM'!C17+'9.4. sz. mell ILMKS'!C17+'9.5. sz. mell OVI'!C17</f>
        <v>0</v>
      </c>
    </row>
    <row r="44" spans="1:3" s="460" customFormat="1" ht="12" customHeight="1" x14ac:dyDescent="0.2">
      <c r="A44" s="16" t="s">
        <v>276</v>
      </c>
      <c r="B44" s="463" t="s">
        <v>440</v>
      </c>
      <c r="C44" s="335">
        <f>'9.1. sz. mell ÖNK'!C47+'9.2. sz. mell HIV'!C18+'9.3. sz. mell GAM'!C18+'9.4. sz. mell ILMKS'!C18+'9.5. sz. mell OVI'!C18</f>
        <v>0</v>
      </c>
    </row>
    <row r="45" spans="1:3" s="460" customFormat="1" ht="12" customHeight="1" thickBot="1" x14ac:dyDescent="0.25">
      <c r="A45" s="16" t="s">
        <v>439</v>
      </c>
      <c r="B45" s="329" t="s">
        <v>286</v>
      </c>
      <c r="C45" s="335">
        <f>'9.1. sz. mell ÖNK'!C48+'9.2. sz. mell HIV'!C19+'9.3. sz. mell GAM'!C19+'9.4. sz. mell ILMKS'!C19+'9.5. sz. mell OVI'!C19</f>
        <v>28288</v>
      </c>
    </row>
    <row r="46" spans="1:3" s="460" customFormat="1" ht="12" customHeight="1" thickBot="1" x14ac:dyDescent="0.25">
      <c r="A46" s="20" t="s">
        <v>23</v>
      </c>
      <c r="B46" s="21" t="s">
        <v>287</v>
      </c>
      <c r="C46" s="332">
        <f>SUM(C47:C51)</f>
        <v>34300110</v>
      </c>
    </row>
    <row r="47" spans="1:3" s="460" customFormat="1" ht="12" customHeight="1" x14ac:dyDescent="0.2">
      <c r="A47" s="15" t="s">
        <v>96</v>
      </c>
      <c r="B47" s="461" t="s">
        <v>291</v>
      </c>
      <c r="C47" s="506">
        <f>'9.1. sz. mell ÖNK'!C50</f>
        <v>0</v>
      </c>
    </row>
    <row r="48" spans="1:3" s="460" customFormat="1" ht="12" customHeight="1" x14ac:dyDescent="0.2">
      <c r="A48" s="14" t="s">
        <v>97</v>
      </c>
      <c r="B48" s="462" t="s">
        <v>292</v>
      </c>
      <c r="C48" s="506">
        <f>'9.1. sz. mell ÖNK'!C51</f>
        <v>34182000</v>
      </c>
    </row>
    <row r="49" spans="1:3" s="460" customFormat="1" ht="12" customHeight="1" x14ac:dyDescent="0.2">
      <c r="A49" s="14" t="s">
        <v>288</v>
      </c>
      <c r="B49" s="462" t="s">
        <v>293</v>
      </c>
      <c r="C49" s="506">
        <f>'9.1. sz. mell ÖNK'!C52+'9.2. sz. mell HIV'!C34+'9.3. sz. mell GAM'!C33+'9.4. sz. mell ILMKS'!C33+'9.5. sz. mell OVI'!C33+'9.6. sz. mell CSSK'!C33</f>
        <v>118110</v>
      </c>
    </row>
    <row r="50" spans="1:3" s="460" customFormat="1" ht="12" customHeight="1" x14ac:dyDescent="0.2">
      <c r="A50" s="14" t="s">
        <v>289</v>
      </c>
      <c r="B50" s="462" t="s">
        <v>294</v>
      </c>
      <c r="C50" s="506">
        <f>'9.1. sz. mell ÖNK'!C53</f>
        <v>0</v>
      </c>
    </row>
    <row r="51" spans="1:3" s="460" customFormat="1" ht="12" customHeight="1" thickBot="1" x14ac:dyDescent="0.25">
      <c r="A51" s="16" t="s">
        <v>290</v>
      </c>
      <c r="B51" s="329" t="s">
        <v>295</v>
      </c>
      <c r="C51" s="506">
        <f>'9.1. sz. mell ÖNK'!C54</f>
        <v>0</v>
      </c>
    </row>
    <row r="52" spans="1:3" s="460" customFormat="1" ht="12" customHeight="1" thickBot="1" x14ac:dyDescent="0.25">
      <c r="A52" s="20" t="s">
        <v>178</v>
      </c>
      <c r="B52" s="21" t="s">
        <v>296</v>
      </c>
      <c r="C52" s="332">
        <f>SUM(C53:C55)</f>
        <v>0</v>
      </c>
    </row>
    <row r="53" spans="1:3" s="460" customFormat="1" ht="12" customHeight="1" x14ac:dyDescent="0.2">
      <c r="A53" s="15" t="s">
        <v>98</v>
      </c>
      <c r="B53" s="461" t="s">
        <v>297</v>
      </c>
      <c r="C53" s="335">
        <f>'9.1. sz. mell ÖNK'!C56</f>
        <v>0</v>
      </c>
    </row>
    <row r="54" spans="1:3" s="460" customFormat="1" ht="12" customHeight="1" x14ac:dyDescent="0.2">
      <c r="A54" s="14" t="s">
        <v>99</v>
      </c>
      <c r="B54" s="462" t="s">
        <v>430</v>
      </c>
      <c r="C54" s="335">
        <f>'9.1. sz. mell ÖNK'!C57</f>
        <v>0</v>
      </c>
    </row>
    <row r="55" spans="1:3" s="460" customFormat="1" ht="12" customHeight="1" x14ac:dyDescent="0.2">
      <c r="A55" s="14" t="s">
        <v>300</v>
      </c>
      <c r="B55" s="462" t="s">
        <v>298</v>
      </c>
      <c r="C55" s="335">
        <f>'9.1. sz. mell ÖNK'!C58</f>
        <v>0</v>
      </c>
    </row>
    <row r="56" spans="1:3" s="460" customFormat="1" ht="12" customHeight="1" thickBot="1" x14ac:dyDescent="0.25">
      <c r="A56" s="16" t="s">
        <v>301</v>
      </c>
      <c r="B56" s="329" t="s">
        <v>299</v>
      </c>
      <c r="C56" s="335">
        <f>'9.1. sz. mell ÖNK'!C59</f>
        <v>0</v>
      </c>
    </row>
    <row r="57" spans="1:3" s="460" customFormat="1" ht="12" customHeight="1" thickBot="1" x14ac:dyDescent="0.25">
      <c r="A57" s="20" t="s">
        <v>25</v>
      </c>
      <c r="B57" s="327" t="s">
        <v>302</v>
      </c>
      <c r="C57" s="332">
        <f>SUM(C58:C60)</f>
        <v>810000</v>
      </c>
    </row>
    <row r="58" spans="1:3" s="460" customFormat="1" ht="12" customHeight="1" x14ac:dyDescent="0.2">
      <c r="A58" s="15" t="s">
        <v>179</v>
      </c>
      <c r="B58" s="461" t="s">
        <v>304</v>
      </c>
      <c r="C58" s="337">
        <f>'9.1. sz. mell ÖNK'!C61</f>
        <v>0</v>
      </c>
    </row>
    <row r="59" spans="1:3" s="460" customFormat="1" ht="12" customHeight="1" x14ac:dyDescent="0.2">
      <c r="A59" s="14" t="s">
        <v>180</v>
      </c>
      <c r="B59" s="462" t="s">
        <v>431</v>
      </c>
      <c r="C59" s="337">
        <f>'9.1. sz. mell ÖNK'!C62</f>
        <v>810000</v>
      </c>
    </row>
    <row r="60" spans="1:3" s="460" customFormat="1" ht="12" customHeight="1" x14ac:dyDescent="0.2">
      <c r="A60" s="14" t="s">
        <v>228</v>
      </c>
      <c r="B60" s="462" t="s">
        <v>305</v>
      </c>
      <c r="C60" s="337">
        <f>'9.1. sz. mell ÖNK'!C63</f>
        <v>0</v>
      </c>
    </row>
    <row r="61" spans="1:3" s="460" customFormat="1" ht="12" customHeight="1" thickBot="1" x14ac:dyDescent="0.25">
      <c r="A61" s="16" t="s">
        <v>303</v>
      </c>
      <c r="B61" s="329" t="s">
        <v>306</v>
      </c>
      <c r="C61" s="337">
        <f>'9.1. sz. mell ÖNK'!C64</f>
        <v>0</v>
      </c>
    </row>
    <row r="62" spans="1:3" s="460" customFormat="1" ht="12" customHeight="1" thickBot="1" x14ac:dyDescent="0.25">
      <c r="A62" s="538" t="s">
        <v>480</v>
      </c>
      <c r="B62" s="21" t="s">
        <v>307</v>
      </c>
      <c r="C62" s="338">
        <f>+C5+C12+C19+C26+C34+C46+C52+C57</f>
        <v>1717470058</v>
      </c>
    </row>
    <row r="63" spans="1:3" s="460" customFormat="1" ht="12" customHeight="1" thickBot="1" x14ac:dyDescent="0.25">
      <c r="A63" s="509" t="s">
        <v>308</v>
      </c>
      <c r="B63" s="327" t="s">
        <v>309</v>
      </c>
      <c r="C63" s="332">
        <f>SUM(C64:C66)</f>
        <v>29896000</v>
      </c>
    </row>
    <row r="64" spans="1:3" s="460" customFormat="1" ht="12" customHeight="1" x14ac:dyDescent="0.2">
      <c r="A64" s="15" t="s">
        <v>340</v>
      </c>
      <c r="B64" s="461" t="s">
        <v>310</v>
      </c>
      <c r="C64" s="337">
        <f>'9.1. sz. mell ÖNK'!C67</f>
        <v>29896000</v>
      </c>
    </row>
    <row r="65" spans="1:3" s="460" customFormat="1" ht="12" customHeight="1" x14ac:dyDescent="0.2">
      <c r="A65" s="14" t="s">
        <v>349</v>
      </c>
      <c r="B65" s="462" t="s">
        <v>311</v>
      </c>
      <c r="C65" s="337"/>
    </row>
    <row r="66" spans="1:3" s="460" customFormat="1" ht="12" customHeight="1" thickBot="1" x14ac:dyDescent="0.25">
      <c r="A66" s="16" t="s">
        <v>350</v>
      </c>
      <c r="B66" s="532" t="s">
        <v>465</v>
      </c>
      <c r="C66" s="337"/>
    </row>
    <row r="67" spans="1:3" s="460" customFormat="1" ht="12" customHeight="1" thickBot="1" x14ac:dyDescent="0.25">
      <c r="A67" s="509" t="s">
        <v>313</v>
      </c>
      <c r="B67" s="327" t="s">
        <v>314</v>
      </c>
      <c r="C67" s="332">
        <f>SUM(C68:C71)</f>
        <v>0</v>
      </c>
    </row>
    <row r="68" spans="1:3" s="460" customFormat="1" ht="12" customHeight="1" x14ac:dyDescent="0.2">
      <c r="A68" s="15" t="s">
        <v>150</v>
      </c>
      <c r="B68" s="461" t="s">
        <v>315</v>
      </c>
      <c r="C68" s="337"/>
    </row>
    <row r="69" spans="1:3" s="460" customFormat="1" ht="12" customHeight="1" x14ac:dyDescent="0.2">
      <c r="A69" s="14" t="s">
        <v>151</v>
      </c>
      <c r="B69" s="462" t="s">
        <v>316</v>
      </c>
      <c r="C69" s="337"/>
    </row>
    <row r="70" spans="1:3" s="460" customFormat="1" ht="12" customHeight="1" x14ac:dyDescent="0.2">
      <c r="A70" s="14" t="s">
        <v>341</v>
      </c>
      <c r="B70" s="462" t="s">
        <v>317</v>
      </c>
      <c r="C70" s="337"/>
    </row>
    <row r="71" spans="1:3" s="460" customFormat="1" ht="12" customHeight="1" thickBot="1" x14ac:dyDescent="0.25">
      <c r="A71" s="16" t="s">
        <v>342</v>
      </c>
      <c r="B71" s="329" t="s">
        <v>318</v>
      </c>
      <c r="C71" s="337"/>
    </row>
    <row r="72" spans="1:3" s="460" customFormat="1" ht="12" customHeight="1" thickBot="1" x14ac:dyDescent="0.25">
      <c r="A72" s="509" t="s">
        <v>319</v>
      </c>
      <c r="B72" s="327" t="s">
        <v>320</v>
      </c>
      <c r="C72" s="332">
        <f>SUM(C73:C74)</f>
        <v>191553525</v>
      </c>
    </row>
    <row r="73" spans="1:3" s="460" customFormat="1" ht="12" customHeight="1" x14ac:dyDescent="0.2">
      <c r="A73" s="15" t="s">
        <v>343</v>
      </c>
      <c r="B73" s="461" t="s">
        <v>321</v>
      </c>
      <c r="C73" s="337">
        <f>'9.1.1. sz. mell ÖNK'!C76+'9.2. sz. mell HIV'!C39+'9.3. sz. mell GAM'!C38+'9.4. sz. mell ILMKS'!C38+'9.5. sz. mell OVI'!C38</f>
        <v>190750097</v>
      </c>
    </row>
    <row r="74" spans="1:3" s="460" customFormat="1" ht="12" customHeight="1" thickBot="1" x14ac:dyDescent="0.25">
      <c r="A74" s="16" t="s">
        <v>344</v>
      </c>
      <c r="B74" s="329" t="s">
        <v>322</v>
      </c>
      <c r="C74" s="337">
        <f>'9.1.1. sz. mell ÖNK'!C77+'9.2. sz. mell HIV'!C40+'9.3. sz. mell GAM'!C39+'9.4. sz. mell ILMKS'!C39+'9.5. sz. mell OVI'!C39</f>
        <v>803428</v>
      </c>
    </row>
    <row r="75" spans="1:3" s="460" customFormat="1" ht="12" customHeight="1" thickBot="1" x14ac:dyDescent="0.25">
      <c r="A75" s="509" t="s">
        <v>323</v>
      </c>
      <c r="B75" s="327" t="s">
        <v>324</v>
      </c>
      <c r="C75" s="332">
        <f>SUM(C76:C78)</f>
        <v>0</v>
      </c>
    </row>
    <row r="76" spans="1:3" s="460" customFormat="1" ht="12" customHeight="1" x14ac:dyDescent="0.2">
      <c r="A76" s="15" t="s">
        <v>345</v>
      </c>
      <c r="B76" s="461" t="s">
        <v>325</v>
      </c>
      <c r="C76" s="337"/>
    </row>
    <row r="77" spans="1:3" s="460" customFormat="1" ht="12" customHeight="1" x14ac:dyDescent="0.2">
      <c r="A77" s="14" t="s">
        <v>346</v>
      </c>
      <c r="B77" s="462" t="s">
        <v>326</v>
      </c>
      <c r="C77" s="337"/>
    </row>
    <row r="78" spans="1:3" s="460" customFormat="1" ht="12" customHeight="1" thickBot="1" x14ac:dyDescent="0.25">
      <c r="A78" s="16" t="s">
        <v>347</v>
      </c>
      <c r="B78" s="329" t="s">
        <v>327</v>
      </c>
      <c r="C78" s="337"/>
    </row>
    <row r="79" spans="1:3" s="460" customFormat="1" ht="12" customHeight="1" thickBot="1" x14ac:dyDescent="0.25">
      <c r="A79" s="509" t="s">
        <v>328</v>
      </c>
      <c r="B79" s="327" t="s">
        <v>348</v>
      </c>
      <c r="C79" s="332">
        <f>SUM(C80:C83)</f>
        <v>0</v>
      </c>
    </row>
    <row r="80" spans="1:3" s="460" customFormat="1" ht="12" customHeight="1" x14ac:dyDescent="0.2">
      <c r="A80" s="465" t="s">
        <v>329</v>
      </c>
      <c r="B80" s="461" t="s">
        <v>330</v>
      </c>
      <c r="C80" s="337"/>
    </row>
    <row r="81" spans="1:3" s="460" customFormat="1" ht="12" customHeight="1" x14ac:dyDescent="0.2">
      <c r="A81" s="466" t="s">
        <v>331</v>
      </c>
      <c r="B81" s="462" t="s">
        <v>332</v>
      </c>
      <c r="C81" s="337"/>
    </row>
    <row r="82" spans="1:3" s="460" customFormat="1" ht="12" customHeight="1" x14ac:dyDescent="0.2">
      <c r="A82" s="466" t="s">
        <v>333</v>
      </c>
      <c r="B82" s="462" t="s">
        <v>334</v>
      </c>
      <c r="C82" s="337"/>
    </row>
    <row r="83" spans="1:3" s="460" customFormat="1" ht="12" customHeight="1" thickBot="1" x14ac:dyDescent="0.25">
      <c r="A83" s="467" t="s">
        <v>335</v>
      </c>
      <c r="B83" s="329" t="s">
        <v>336</v>
      </c>
      <c r="C83" s="337"/>
    </row>
    <row r="84" spans="1:3" s="460" customFormat="1" ht="12" customHeight="1" thickBot="1" x14ac:dyDescent="0.25">
      <c r="A84" s="509" t="s">
        <v>337</v>
      </c>
      <c r="B84" s="327" t="s">
        <v>479</v>
      </c>
      <c r="C84" s="507"/>
    </row>
    <row r="85" spans="1:3" s="460" customFormat="1" ht="13.5" customHeight="1" thickBot="1" x14ac:dyDescent="0.25">
      <c r="A85" s="509" t="s">
        <v>339</v>
      </c>
      <c r="B85" s="327" t="s">
        <v>338</v>
      </c>
      <c r="C85" s="507"/>
    </row>
    <row r="86" spans="1:3" s="460" customFormat="1" ht="15.75" customHeight="1" thickBot="1" x14ac:dyDescent="0.25">
      <c r="A86" s="509" t="s">
        <v>351</v>
      </c>
      <c r="B86" s="468" t="s">
        <v>482</v>
      </c>
      <c r="C86" s="338">
        <f>+C63+C67+C72+C75+C79+C85+C84</f>
        <v>221449525</v>
      </c>
    </row>
    <row r="87" spans="1:3" s="460" customFormat="1" ht="16.5" customHeight="1" thickBot="1" x14ac:dyDescent="0.25">
      <c r="A87" s="510" t="s">
        <v>481</v>
      </c>
      <c r="B87" s="469" t="s">
        <v>483</v>
      </c>
      <c r="C87" s="338">
        <f>+C62+C86</f>
        <v>1938919583</v>
      </c>
    </row>
    <row r="88" spans="1:3" s="460" customFormat="1" ht="36" customHeight="1" x14ac:dyDescent="0.2">
      <c r="A88" s="5"/>
      <c r="B88" s="6"/>
      <c r="C88" s="339"/>
    </row>
    <row r="89" spans="1:3" ht="16.5" customHeight="1" x14ac:dyDescent="0.25">
      <c r="A89" s="670" t="s">
        <v>47</v>
      </c>
      <c r="B89" s="670"/>
      <c r="C89" s="670"/>
    </row>
    <row r="90" spans="1:3" s="470" customFormat="1" ht="16.5" customHeight="1" thickBot="1" x14ac:dyDescent="0.3">
      <c r="A90" s="672" t="s">
        <v>154</v>
      </c>
      <c r="B90" s="672"/>
      <c r="C90" s="164" t="s">
        <v>579</v>
      </c>
    </row>
    <row r="91" spans="1:3" ht="38.1" customHeight="1" thickBot="1" x14ac:dyDescent="0.3">
      <c r="A91" s="23" t="s">
        <v>71</v>
      </c>
      <c r="B91" s="24" t="s">
        <v>48</v>
      </c>
      <c r="C91" s="44" t="str">
        <f>+C3</f>
        <v>2017. évi előirányzat</v>
      </c>
    </row>
    <row r="92" spans="1:3" s="459" customFormat="1" ht="12" customHeight="1" thickBot="1" x14ac:dyDescent="0.25">
      <c r="A92" s="36"/>
      <c r="B92" s="37" t="s">
        <v>496</v>
      </c>
      <c r="C92" s="38" t="s">
        <v>497</v>
      </c>
    </row>
    <row r="93" spans="1:3" ht="12" customHeight="1" thickBot="1" x14ac:dyDescent="0.3">
      <c r="A93" s="22" t="s">
        <v>18</v>
      </c>
      <c r="B93" s="31" t="s">
        <v>441</v>
      </c>
      <c r="C93" s="331">
        <f>C94+C95+C96+C97+C98+C111</f>
        <v>1315851182</v>
      </c>
    </row>
    <row r="94" spans="1:3" ht="12" customHeight="1" x14ac:dyDescent="0.25">
      <c r="A94" s="17" t="s">
        <v>100</v>
      </c>
      <c r="B94" s="10" t="s">
        <v>49</v>
      </c>
      <c r="C94" s="580">
        <f>'9.1. sz. mell ÖNK'!C94+'9.2. sz. mell HIV'!C47+'9.3. sz. mell GAM'!C46+'9.4. sz. mell ILMKS'!C46+'9.5. sz. mell OVI'!C46+'9.6. sz. mell CSSK'!C46</f>
        <v>610079831</v>
      </c>
    </row>
    <row r="95" spans="1:3" ht="12" customHeight="1" x14ac:dyDescent="0.25">
      <c r="A95" s="14" t="s">
        <v>101</v>
      </c>
      <c r="B95" s="8" t="s">
        <v>181</v>
      </c>
      <c r="C95" s="334">
        <f>'9.1. sz. mell ÖNK'!C95+'9.2. sz. mell HIV'!C48+'9.3. sz. mell GAM'!C47+'9.4. sz. mell ILMKS'!C47+'9.5. sz. mell OVI'!C47+'9.6. sz. mell CSSK'!C47</f>
        <v>116072917</v>
      </c>
    </row>
    <row r="96" spans="1:3" ht="12" customHeight="1" x14ac:dyDescent="0.25">
      <c r="A96" s="14" t="s">
        <v>102</v>
      </c>
      <c r="B96" s="8" t="s">
        <v>142</v>
      </c>
      <c r="C96" s="581">
        <f>'9.1. sz. mell ÖNK'!C96+'9.2. sz. mell HIV'!C49+'9.3. sz. mell GAM'!C48+'9.4. sz. mell ILMKS'!C48+'9.5. sz. mell OVI'!C48+'9.6. sz. mell CSSK'!C48</f>
        <v>526726102</v>
      </c>
    </row>
    <row r="97" spans="1:3" ht="12" customHeight="1" x14ac:dyDescent="0.25">
      <c r="A97" s="14" t="s">
        <v>103</v>
      </c>
      <c r="B97" s="11" t="s">
        <v>182</v>
      </c>
      <c r="C97" s="334">
        <f>'9.1. sz. mell ÖNK'!C98+'9.2. sz. mell HIV'!C50+'9.3. sz. mell GAM'!C49+'9.4. sz. mell ILMKS'!C49+'9.5. sz. mell OVI'!C49+'9.6. sz. mell CSSK'!C49</f>
        <v>24760000</v>
      </c>
    </row>
    <row r="98" spans="1:3" ht="12" customHeight="1" x14ac:dyDescent="0.25">
      <c r="A98" s="14" t="s">
        <v>114</v>
      </c>
      <c r="B98" s="19" t="s">
        <v>183</v>
      </c>
      <c r="C98" s="581">
        <f>'9.1. sz. mell ÖNK'!C99+'9.2. sz. mell HIV'!C51+'9.3. sz. mell GAM'!C50+'9.4. sz. mell ILMKS'!C50+'9.5. sz. mell OVI'!C50+'9.6. sz. mell CSSK'!C50</f>
        <v>31448115</v>
      </c>
    </row>
    <row r="99" spans="1:3" ht="12" customHeight="1" x14ac:dyDescent="0.25">
      <c r="A99" s="14" t="s">
        <v>104</v>
      </c>
      <c r="B99" s="8" t="s">
        <v>446</v>
      </c>
      <c r="C99" s="336">
        <f>'9.1. sz. mell ÖNK'!C100</f>
        <v>409475</v>
      </c>
    </row>
    <row r="100" spans="1:3" ht="12" customHeight="1" x14ac:dyDescent="0.25">
      <c r="A100" s="14" t="s">
        <v>105</v>
      </c>
      <c r="B100" s="169" t="s">
        <v>445</v>
      </c>
      <c r="C100" s="336">
        <f>'9.1. sz. mell ÖNK'!C101</f>
        <v>0</v>
      </c>
    </row>
    <row r="101" spans="1:3" ht="12" customHeight="1" x14ac:dyDescent="0.25">
      <c r="A101" s="14" t="s">
        <v>115</v>
      </c>
      <c r="B101" s="169" t="s">
        <v>444</v>
      </c>
      <c r="C101" s="336">
        <f>'9.1. sz. mell ÖNK'!C102</f>
        <v>0</v>
      </c>
    </row>
    <row r="102" spans="1:3" ht="12" customHeight="1" x14ac:dyDescent="0.25">
      <c r="A102" s="14" t="s">
        <v>116</v>
      </c>
      <c r="B102" s="167" t="s">
        <v>354</v>
      </c>
      <c r="C102" s="336">
        <f>'9.1. sz. mell ÖNK'!C103</f>
        <v>0</v>
      </c>
    </row>
    <row r="103" spans="1:3" ht="12" customHeight="1" x14ac:dyDescent="0.25">
      <c r="A103" s="14" t="s">
        <v>117</v>
      </c>
      <c r="B103" s="168" t="s">
        <v>355</v>
      </c>
      <c r="C103" s="336">
        <f>'9.1. sz. mell ÖNK'!C104</f>
        <v>0</v>
      </c>
    </row>
    <row r="104" spans="1:3" ht="12" customHeight="1" x14ac:dyDescent="0.25">
      <c r="A104" s="14" t="s">
        <v>118</v>
      </c>
      <c r="B104" s="168" t="s">
        <v>356</v>
      </c>
      <c r="C104" s="336">
        <f>'9.1. sz. mell ÖNK'!C105</f>
        <v>0</v>
      </c>
    </row>
    <row r="105" spans="1:3" ht="12" customHeight="1" x14ac:dyDescent="0.25">
      <c r="A105" s="14" t="s">
        <v>120</v>
      </c>
      <c r="B105" s="167" t="s">
        <v>357</v>
      </c>
      <c r="C105" s="336">
        <f>'9.1. sz. mell ÖNK'!C106</f>
        <v>1600000</v>
      </c>
    </row>
    <row r="106" spans="1:3" ht="12" customHeight="1" x14ac:dyDescent="0.25">
      <c r="A106" s="14" t="s">
        <v>184</v>
      </c>
      <c r="B106" s="167" t="s">
        <v>358</v>
      </c>
      <c r="C106" s="336">
        <f>'9.1. sz. mell ÖNK'!C107</f>
        <v>0</v>
      </c>
    </row>
    <row r="107" spans="1:3" ht="12" customHeight="1" x14ac:dyDescent="0.25">
      <c r="A107" s="14" t="s">
        <v>352</v>
      </c>
      <c r="B107" s="168" t="s">
        <v>359</v>
      </c>
      <c r="C107" s="336">
        <f>'9.1. sz. mell ÖNK'!C108</f>
        <v>2000000</v>
      </c>
    </row>
    <row r="108" spans="1:3" ht="12" customHeight="1" x14ac:dyDescent="0.25">
      <c r="A108" s="13" t="s">
        <v>353</v>
      </c>
      <c r="B108" s="169" t="s">
        <v>360</v>
      </c>
      <c r="C108" s="336">
        <f>'9.1. sz. mell ÖNK'!C109</f>
        <v>0</v>
      </c>
    </row>
    <row r="109" spans="1:3" ht="12" customHeight="1" x14ac:dyDescent="0.25">
      <c r="A109" s="14" t="s">
        <v>442</v>
      </c>
      <c r="B109" s="169" t="s">
        <v>361</v>
      </c>
      <c r="C109" s="336">
        <f>'9.1. sz. mell ÖNK'!C110</f>
        <v>0</v>
      </c>
    </row>
    <row r="110" spans="1:3" ht="12" customHeight="1" x14ac:dyDescent="0.25">
      <c r="A110" s="16" t="s">
        <v>443</v>
      </c>
      <c r="B110" s="169" t="s">
        <v>362</v>
      </c>
      <c r="C110" s="336">
        <f>'9.1. sz. mell ÖNK'!C111</f>
        <v>27300000</v>
      </c>
    </row>
    <row r="111" spans="1:3" ht="12" customHeight="1" x14ac:dyDescent="0.25">
      <c r="A111" s="14" t="s">
        <v>447</v>
      </c>
      <c r="B111" s="11" t="s">
        <v>50</v>
      </c>
      <c r="C111" s="336">
        <f>'9.1. sz. mell ÖNK'!C112</f>
        <v>6764217</v>
      </c>
    </row>
    <row r="112" spans="1:3" ht="12" customHeight="1" x14ac:dyDescent="0.25">
      <c r="A112" s="14" t="s">
        <v>448</v>
      </c>
      <c r="B112" s="8" t="s">
        <v>450</v>
      </c>
      <c r="C112" s="336">
        <f>'9.1. sz. mell ÖNK'!C113</f>
        <v>6764217</v>
      </c>
    </row>
    <row r="113" spans="1:3" ht="12" customHeight="1" thickBot="1" x14ac:dyDescent="0.3">
      <c r="A113" s="16" t="s">
        <v>449</v>
      </c>
      <c r="B113" s="593" t="s">
        <v>451</v>
      </c>
      <c r="C113" s="336">
        <f>'9.1. sz. mell ÖNK'!C114</f>
        <v>0</v>
      </c>
    </row>
    <row r="114" spans="1:3" ht="12" customHeight="1" thickBot="1" x14ac:dyDescent="0.3">
      <c r="A114" s="20" t="s">
        <v>19</v>
      </c>
      <c r="B114" s="30" t="s">
        <v>363</v>
      </c>
      <c r="C114" s="332">
        <f>+C115+C117+C119</f>
        <v>600439964</v>
      </c>
    </row>
    <row r="115" spans="1:3" ht="12" customHeight="1" x14ac:dyDescent="0.25">
      <c r="A115" s="15" t="s">
        <v>106</v>
      </c>
      <c r="B115" s="8" t="s">
        <v>226</v>
      </c>
      <c r="C115" s="335">
        <f>'9.1. sz. mell ÖNK'!C116+'9.2. sz. mell HIV'!C53+'9.3. sz. mell GAM'!C52+'9.4. sz. mell ILMKS'!C52+'9.5. sz. mell OVI'!C52+'9.6. sz. mell CSSK'!C52</f>
        <v>553690917</v>
      </c>
    </row>
    <row r="116" spans="1:3" ht="12" customHeight="1" x14ac:dyDescent="0.25">
      <c r="A116" s="15" t="s">
        <v>107</v>
      </c>
      <c r="B116" s="12" t="s">
        <v>367</v>
      </c>
      <c r="C116" s="335"/>
    </row>
    <row r="117" spans="1:3" ht="12" customHeight="1" x14ac:dyDescent="0.25">
      <c r="A117" s="15" t="s">
        <v>108</v>
      </c>
      <c r="B117" s="12" t="s">
        <v>185</v>
      </c>
      <c r="C117" s="335">
        <f>'9.1. sz. mell ÖNK'!C118+'9.2. sz. mell HIV'!C54+'9.3. sz. mell GAM'!C53+'9.4. sz. mell ILMKS'!C53+'9.5. sz. mell OVI'!C53+'9.6. sz. mell CSSK'!C53</f>
        <v>46749047</v>
      </c>
    </row>
    <row r="118" spans="1:3" ht="12" customHeight="1" x14ac:dyDescent="0.25">
      <c r="A118" s="15" t="s">
        <v>109</v>
      </c>
      <c r="B118" s="12" t="s">
        <v>368</v>
      </c>
      <c r="C118" s="299"/>
    </row>
    <row r="119" spans="1:3" ht="12" customHeight="1" x14ac:dyDescent="0.25">
      <c r="A119" s="15" t="s">
        <v>110</v>
      </c>
      <c r="B119" s="329" t="s">
        <v>229</v>
      </c>
      <c r="C119" s="335">
        <f>'9.1. sz. mell ÖNK'!C120+'9.2. sz. mell HIV'!C55+'9.3. sz. mell GAM'!C54+'9.4. sz. mell ILMKS'!C54+'9.5. sz. mell OVI'!C54</f>
        <v>0</v>
      </c>
    </row>
    <row r="120" spans="1:3" ht="12" customHeight="1" x14ac:dyDescent="0.25">
      <c r="A120" s="15" t="s">
        <v>119</v>
      </c>
      <c r="B120" s="328" t="s">
        <v>432</v>
      </c>
      <c r="C120" s="299"/>
    </row>
    <row r="121" spans="1:3" ht="12" customHeight="1" x14ac:dyDescent="0.25">
      <c r="A121" s="15" t="s">
        <v>121</v>
      </c>
      <c r="B121" s="457" t="s">
        <v>373</v>
      </c>
      <c r="C121" s="299"/>
    </row>
    <row r="122" spans="1:3" x14ac:dyDescent="0.25">
      <c r="A122" s="15" t="s">
        <v>186</v>
      </c>
      <c r="B122" s="168" t="s">
        <v>356</v>
      </c>
      <c r="C122" s="299"/>
    </row>
    <row r="123" spans="1:3" ht="12" customHeight="1" x14ac:dyDescent="0.25">
      <c r="A123" s="15" t="s">
        <v>187</v>
      </c>
      <c r="B123" s="168" t="s">
        <v>372</v>
      </c>
      <c r="C123" s="299"/>
    </row>
    <row r="124" spans="1:3" ht="12" customHeight="1" x14ac:dyDescent="0.25">
      <c r="A124" s="15" t="s">
        <v>188</v>
      </c>
      <c r="B124" s="168" t="s">
        <v>371</v>
      </c>
      <c r="C124" s="299"/>
    </row>
    <row r="125" spans="1:3" ht="12" customHeight="1" x14ac:dyDescent="0.25">
      <c r="A125" s="15" t="s">
        <v>364</v>
      </c>
      <c r="B125" s="168" t="s">
        <v>359</v>
      </c>
      <c r="C125" s="299"/>
    </row>
    <row r="126" spans="1:3" ht="12" customHeight="1" x14ac:dyDescent="0.25">
      <c r="A126" s="15" t="s">
        <v>365</v>
      </c>
      <c r="B126" s="168" t="s">
        <v>370</v>
      </c>
      <c r="C126" s="299"/>
    </row>
    <row r="127" spans="1:3" ht="16.5" thickBot="1" x14ac:dyDescent="0.3">
      <c r="A127" s="13" t="s">
        <v>366</v>
      </c>
      <c r="B127" s="168" t="s">
        <v>369</v>
      </c>
      <c r="C127" s="301">
        <f>'9.1. sz. mell ÖNK'!C128</f>
        <v>0</v>
      </c>
    </row>
    <row r="128" spans="1:3" ht="12" customHeight="1" thickBot="1" x14ac:dyDescent="0.3">
      <c r="A128" s="20" t="s">
        <v>20</v>
      </c>
      <c r="B128" s="150" t="s">
        <v>452</v>
      </c>
      <c r="C128" s="332">
        <f>+C93+C114</f>
        <v>1916291146</v>
      </c>
    </row>
    <row r="129" spans="1:3" ht="12" customHeight="1" thickBot="1" x14ac:dyDescent="0.3">
      <c r="A129" s="20" t="s">
        <v>21</v>
      </c>
      <c r="B129" s="150" t="s">
        <v>453</v>
      </c>
      <c r="C129" s="332">
        <f>+C130+C131+C132</f>
        <v>3532000</v>
      </c>
    </row>
    <row r="130" spans="1:3" ht="12" customHeight="1" x14ac:dyDescent="0.25">
      <c r="A130" s="15" t="s">
        <v>268</v>
      </c>
      <c r="B130" s="12" t="s">
        <v>460</v>
      </c>
      <c r="C130" s="299">
        <f>'9.1. sz. mell ÖNK'!C131</f>
        <v>3532000</v>
      </c>
    </row>
    <row r="131" spans="1:3" ht="12" customHeight="1" x14ac:dyDescent="0.25">
      <c r="A131" s="15" t="s">
        <v>269</v>
      </c>
      <c r="B131" s="12" t="s">
        <v>461</v>
      </c>
      <c r="C131" s="299"/>
    </row>
    <row r="132" spans="1:3" ht="12" customHeight="1" thickBot="1" x14ac:dyDescent="0.3">
      <c r="A132" s="13" t="s">
        <v>270</v>
      </c>
      <c r="B132" s="12" t="s">
        <v>462</v>
      </c>
      <c r="C132" s="299"/>
    </row>
    <row r="133" spans="1:3" ht="12" customHeight="1" thickBot="1" x14ac:dyDescent="0.3">
      <c r="A133" s="20" t="s">
        <v>22</v>
      </c>
      <c r="B133" s="150" t="s">
        <v>454</v>
      </c>
      <c r="C133" s="332">
        <f>SUM(C134:C139)</f>
        <v>0</v>
      </c>
    </row>
    <row r="134" spans="1:3" ht="12" customHeight="1" x14ac:dyDescent="0.25">
      <c r="A134" s="15" t="s">
        <v>93</v>
      </c>
      <c r="B134" s="9" t="s">
        <v>463</v>
      </c>
      <c r="C134" s="299"/>
    </row>
    <row r="135" spans="1:3" ht="12" customHeight="1" x14ac:dyDescent="0.25">
      <c r="A135" s="15" t="s">
        <v>94</v>
      </c>
      <c r="B135" s="9" t="s">
        <v>455</v>
      </c>
      <c r="C135" s="299"/>
    </row>
    <row r="136" spans="1:3" ht="12" customHeight="1" x14ac:dyDescent="0.25">
      <c r="A136" s="15" t="s">
        <v>95</v>
      </c>
      <c r="B136" s="9" t="s">
        <v>456</v>
      </c>
      <c r="C136" s="299"/>
    </row>
    <row r="137" spans="1:3" ht="12" customHeight="1" x14ac:dyDescent="0.25">
      <c r="A137" s="15" t="s">
        <v>173</v>
      </c>
      <c r="B137" s="9" t="s">
        <v>457</v>
      </c>
      <c r="C137" s="299"/>
    </row>
    <row r="138" spans="1:3" ht="12" customHeight="1" x14ac:dyDescent="0.25">
      <c r="A138" s="15" t="s">
        <v>174</v>
      </c>
      <c r="B138" s="9" t="s">
        <v>458</v>
      </c>
      <c r="C138" s="299"/>
    </row>
    <row r="139" spans="1:3" ht="12" customHeight="1" thickBot="1" x14ac:dyDescent="0.3">
      <c r="A139" s="13" t="s">
        <v>175</v>
      </c>
      <c r="B139" s="9" t="s">
        <v>459</v>
      </c>
      <c r="C139" s="299"/>
    </row>
    <row r="140" spans="1:3" ht="12" customHeight="1" thickBot="1" x14ac:dyDescent="0.3">
      <c r="A140" s="20" t="s">
        <v>23</v>
      </c>
      <c r="B140" s="150" t="s">
        <v>467</v>
      </c>
      <c r="C140" s="338">
        <f>+C141+C142+C143+C144</f>
        <v>19096437</v>
      </c>
    </row>
    <row r="141" spans="1:3" ht="12" customHeight="1" x14ac:dyDescent="0.25">
      <c r="A141" s="15" t="s">
        <v>96</v>
      </c>
      <c r="B141" s="9" t="s">
        <v>374</v>
      </c>
      <c r="C141" s="299"/>
    </row>
    <row r="142" spans="1:3" ht="12" customHeight="1" x14ac:dyDescent="0.25">
      <c r="A142" s="15" t="s">
        <v>97</v>
      </c>
      <c r="B142" s="9" t="s">
        <v>375</v>
      </c>
      <c r="C142" s="299">
        <f>'9.1. sz. mell ÖNK'!C143</f>
        <v>18143148</v>
      </c>
    </row>
    <row r="143" spans="1:3" ht="12" customHeight="1" x14ac:dyDescent="0.25">
      <c r="A143" s="15" t="s">
        <v>288</v>
      </c>
      <c r="B143" s="9" t="s">
        <v>468</v>
      </c>
      <c r="C143" s="299">
        <f>'9.1. sz. mell ÖNK'!C145</f>
        <v>0</v>
      </c>
    </row>
    <row r="144" spans="1:3" ht="12" customHeight="1" thickBot="1" x14ac:dyDescent="0.3">
      <c r="A144" s="13" t="s">
        <v>289</v>
      </c>
      <c r="B144" s="7" t="s">
        <v>394</v>
      </c>
      <c r="C144" s="299">
        <f>'9.1. sz. mell ÖNK'!C146</f>
        <v>953289</v>
      </c>
    </row>
    <row r="145" spans="1:9" ht="12" customHeight="1" thickBot="1" x14ac:dyDescent="0.3">
      <c r="A145" s="20" t="s">
        <v>24</v>
      </c>
      <c r="B145" s="150" t="s">
        <v>469</v>
      </c>
      <c r="C145" s="341">
        <f>SUM(C146:C150)</f>
        <v>0</v>
      </c>
    </row>
    <row r="146" spans="1:9" ht="12" customHeight="1" x14ac:dyDescent="0.25">
      <c r="A146" s="15" t="s">
        <v>98</v>
      </c>
      <c r="B146" s="9" t="s">
        <v>464</v>
      </c>
      <c r="C146" s="299"/>
    </row>
    <row r="147" spans="1:9" ht="12" customHeight="1" x14ac:dyDescent="0.25">
      <c r="A147" s="15" t="s">
        <v>99</v>
      </c>
      <c r="B147" s="9" t="s">
        <v>471</v>
      </c>
      <c r="C147" s="299"/>
    </row>
    <row r="148" spans="1:9" ht="12" customHeight="1" x14ac:dyDescent="0.25">
      <c r="A148" s="15" t="s">
        <v>300</v>
      </c>
      <c r="B148" s="9" t="s">
        <v>466</v>
      </c>
      <c r="C148" s="299"/>
    </row>
    <row r="149" spans="1:9" ht="12" customHeight="1" x14ac:dyDescent="0.25">
      <c r="A149" s="15" t="s">
        <v>301</v>
      </c>
      <c r="B149" s="9" t="s">
        <v>472</v>
      </c>
      <c r="C149" s="299"/>
    </row>
    <row r="150" spans="1:9" ht="12" customHeight="1" thickBot="1" x14ac:dyDescent="0.3">
      <c r="A150" s="15" t="s">
        <v>470</v>
      </c>
      <c r="B150" s="9" t="s">
        <v>473</v>
      </c>
      <c r="C150" s="299"/>
    </row>
    <row r="151" spans="1:9" ht="12" customHeight="1" thickBot="1" x14ac:dyDescent="0.3">
      <c r="A151" s="20" t="s">
        <v>25</v>
      </c>
      <c r="B151" s="150" t="s">
        <v>474</v>
      </c>
      <c r="C151" s="537"/>
    </row>
    <row r="152" spans="1:9" ht="12" customHeight="1" thickBot="1" x14ac:dyDescent="0.3">
      <c r="A152" s="20" t="s">
        <v>26</v>
      </c>
      <c r="B152" s="150" t="s">
        <v>475</v>
      </c>
      <c r="C152" s="537"/>
    </row>
    <row r="153" spans="1:9" ht="15" customHeight="1" thickBot="1" x14ac:dyDescent="0.3">
      <c r="A153" s="20" t="s">
        <v>27</v>
      </c>
      <c r="B153" s="150" t="s">
        <v>477</v>
      </c>
      <c r="C153" s="471">
        <f>+C129+C133+C140+C145+C151+C152</f>
        <v>22628437</v>
      </c>
      <c r="F153" s="472"/>
      <c r="G153" s="473"/>
      <c r="H153" s="473"/>
      <c r="I153" s="473"/>
    </row>
    <row r="154" spans="1:9" s="460" customFormat="1" ht="12.95" customHeight="1" thickBot="1" x14ac:dyDescent="0.25">
      <c r="A154" s="330" t="s">
        <v>28</v>
      </c>
      <c r="B154" s="423" t="s">
        <v>476</v>
      </c>
      <c r="C154" s="471">
        <f>+C128+C153</f>
        <v>1938919583</v>
      </c>
    </row>
    <row r="155" spans="1:9" ht="7.5" customHeight="1" x14ac:dyDescent="0.25"/>
    <row r="156" spans="1:9" x14ac:dyDescent="0.25">
      <c r="A156" s="673" t="s">
        <v>376</v>
      </c>
      <c r="B156" s="673"/>
      <c r="C156" s="673"/>
    </row>
    <row r="157" spans="1:9" ht="15" customHeight="1" thickBot="1" x14ac:dyDescent="0.3">
      <c r="A157" s="671" t="s">
        <v>155</v>
      </c>
      <c r="B157" s="671"/>
      <c r="C157" s="342" t="s">
        <v>227</v>
      </c>
    </row>
    <row r="158" spans="1:9" ht="13.5" customHeight="1" thickBot="1" x14ac:dyDescent="0.3">
      <c r="A158" s="20">
        <v>1</v>
      </c>
      <c r="B158" s="30" t="s">
        <v>478</v>
      </c>
      <c r="C158" s="332">
        <f>+C62-C128</f>
        <v>-198821088</v>
      </c>
      <c r="D158" s="474"/>
    </row>
    <row r="159" spans="1:9" ht="27.75" customHeight="1" thickBot="1" x14ac:dyDescent="0.3">
      <c r="A159" s="20" t="s">
        <v>19</v>
      </c>
      <c r="B159" s="30" t="s">
        <v>575</v>
      </c>
      <c r="C159" s="332">
        <f>+C86-C153</f>
        <v>198821088</v>
      </c>
    </row>
  </sheetData>
  <mergeCells count="6">
    <mergeCell ref="A1:C1"/>
    <mergeCell ref="A2:B2"/>
    <mergeCell ref="A90:B90"/>
    <mergeCell ref="A156:C156"/>
    <mergeCell ref="A157:B157"/>
    <mergeCell ref="A89:C89"/>
  </mergeCells>
  <phoneticPr fontId="0" type="noConversion"/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2017. ÉVI KÖLTSÉGVETÉSÉNEK ÖSSZEVONT MÉRLEGE&amp;10
&amp;R&amp;"Times New Roman CE,Félkövér dőlt"&amp;11 1.1. melléklet a 6/2017. (III.. 13.) önkormányzati rendelethez</oddHeader>
  </headerFooter>
  <rowBreaks count="1" manualBreakCount="1">
    <brk id="87" max="2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zoomScaleNormal="100" workbookViewId="0">
      <selection activeCell="C8" sqref="C8:C58"/>
    </sheetView>
  </sheetViews>
  <sheetFormatPr defaultRowHeight="12.75" x14ac:dyDescent="0.2"/>
  <cols>
    <col min="1" max="1" width="13.83203125" style="276" customWidth="1"/>
    <col min="2" max="2" width="79.1640625" style="277" customWidth="1"/>
    <col min="3" max="3" width="25" style="277" customWidth="1"/>
    <col min="4" max="16384" width="9.33203125" style="277"/>
  </cols>
  <sheetData>
    <row r="1" spans="1:3" s="256" customFormat="1" ht="21" customHeight="1" thickBot="1" x14ac:dyDescent="0.25">
      <c r="A1" s="255"/>
      <c r="B1" s="257"/>
      <c r="C1" s="500" t="str">
        <f>+CONCATENATE("9.2.1. melléklet a 6/",LEFT(ÖSSZEFÜGGÉSEK!A5,4),". (III. 13.) önkormányzati rendelethez")</f>
        <v>9.2.1. melléklet a 6/2017. (III. 13.) önkormányzati rendelethez</v>
      </c>
    </row>
    <row r="2" spans="1:3" s="501" customFormat="1" ht="25.5" customHeight="1" x14ac:dyDescent="0.2">
      <c r="A2" s="451" t="s">
        <v>202</v>
      </c>
      <c r="B2" s="393" t="s">
        <v>571</v>
      </c>
      <c r="C2" s="407" t="s">
        <v>60</v>
      </c>
    </row>
    <row r="3" spans="1:3" s="501" customFormat="1" ht="24.75" thickBot="1" x14ac:dyDescent="0.25">
      <c r="A3" s="494" t="s">
        <v>201</v>
      </c>
      <c r="B3" s="394" t="s">
        <v>421</v>
      </c>
      <c r="C3" s="408" t="s">
        <v>54</v>
      </c>
    </row>
    <row r="4" spans="1:3" s="502" customFormat="1" ht="15.95" customHeight="1" thickBot="1" x14ac:dyDescent="0.3">
      <c r="A4" s="259"/>
      <c r="B4" s="259"/>
      <c r="C4" s="260" t="s">
        <v>578</v>
      </c>
    </row>
    <row r="5" spans="1:3" ht="13.5" thickBot="1" x14ac:dyDescent="0.25">
      <c r="A5" s="452" t="s">
        <v>203</v>
      </c>
      <c r="B5" s="261" t="s">
        <v>567</v>
      </c>
      <c r="C5" s="262" t="s">
        <v>56</v>
      </c>
    </row>
    <row r="6" spans="1:3" s="503" customFormat="1" ht="12.95" customHeight="1" thickBot="1" x14ac:dyDescent="0.25">
      <c r="A6" s="223"/>
      <c r="B6" s="224" t="s">
        <v>496</v>
      </c>
      <c r="C6" s="225" t="s">
        <v>497</v>
      </c>
    </row>
    <row r="7" spans="1:3" s="503" customFormat="1" ht="15.95" customHeight="1" thickBot="1" x14ac:dyDescent="0.25">
      <c r="A7" s="263"/>
      <c r="B7" s="264" t="s">
        <v>57</v>
      </c>
      <c r="C7" s="265"/>
    </row>
    <row r="8" spans="1:3" s="409" customFormat="1" ht="12" customHeight="1" thickBot="1" x14ac:dyDescent="0.25">
      <c r="A8" s="223" t="s">
        <v>18</v>
      </c>
      <c r="B8" s="266" t="s">
        <v>522</v>
      </c>
      <c r="C8" s="352">
        <f>SUM(C9:C19)</f>
        <v>731555</v>
      </c>
    </row>
    <row r="9" spans="1:3" s="409" customFormat="1" ht="12" customHeight="1" x14ac:dyDescent="0.2">
      <c r="A9" s="495" t="s">
        <v>100</v>
      </c>
      <c r="B9" s="10" t="s">
        <v>277</v>
      </c>
      <c r="C9" s="398"/>
    </row>
    <row r="10" spans="1:3" s="409" customFormat="1" ht="12" customHeight="1" x14ac:dyDescent="0.2">
      <c r="A10" s="496" t="s">
        <v>101</v>
      </c>
      <c r="B10" s="8" t="s">
        <v>278</v>
      </c>
      <c r="C10" s="350">
        <v>566224</v>
      </c>
    </row>
    <row r="11" spans="1:3" s="409" customFormat="1" ht="12" customHeight="1" x14ac:dyDescent="0.2">
      <c r="A11" s="496" t="s">
        <v>102</v>
      </c>
      <c r="B11" s="8" t="s">
        <v>279</v>
      </c>
      <c r="C11" s="350"/>
    </row>
    <row r="12" spans="1:3" s="409" customFormat="1" ht="12" customHeight="1" x14ac:dyDescent="0.2">
      <c r="A12" s="496" t="s">
        <v>103</v>
      </c>
      <c r="B12" s="8" t="s">
        <v>280</v>
      </c>
      <c r="C12" s="350"/>
    </row>
    <row r="13" spans="1:3" s="409" customFormat="1" ht="12" customHeight="1" x14ac:dyDescent="0.2">
      <c r="A13" s="496" t="s">
        <v>149</v>
      </c>
      <c r="B13" s="8" t="s">
        <v>281</v>
      </c>
      <c r="C13" s="350"/>
    </row>
    <row r="14" spans="1:3" s="409" customFormat="1" ht="12" customHeight="1" x14ac:dyDescent="0.2">
      <c r="A14" s="496" t="s">
        <v>104</v>
      </c>
      <c r="B14" s="8" t="s">
        <v>403</v>
      </c>
      <c r="C14" s="350">
        <v>165331</v>
      </c>
    </row>
    <row r="15" spans="1:3" s="409" customFormat="1" ht="12" customHeight="1" x14ac:dyDescent="0.2">
      <c r="A15" s="496" t="s">
        <v>105</v>
      </c>
      <c r="B15" s="7" t="s">
        <v>404</v>
      </c>
      <c r="C15" s="350"/>
    </row>
    <row r="16" spans="1:3" s="409" customFormat="1" ht="12" customHeight="1" x14ac:dyDescent="0.2">
      <c r="A16" s="496" t="s">
        <v>115</v>
      </c>
      <c r="B16" s="8" t="s">
        <v>284</v>
      </c>
      <c r="C16" s="399"/>
    </row>
    <row r="17" spans="1:3" s="504" customFormat="1" ht="12" customHeight="1" x14ac:dyDescent="0.2">
      <c r="A17" s="496" t="s">
        <v>116</v>
      </c>
      <c r="B17" s="8" t="s">
        <v>285</v>
      </c>
      <c r="C17" s="350"/>
    </row>
    <row r="18" spans="1:3" s="504" customFormat="1" ht="12" customHeight="1" x14ac:dyDescent="0.2">
      <c r="A18" s="496" t="s">
        <v>117</v>
      </c>
      <c r="B18" s="8" t="s">
        <v>440</v>
      </c>
      <c r="C18" s="351"/>
    </row>
    <row r="19" spans="1:3" s="504" customFormat="1" ht="12" customHeight="1" thickBot="1" x14ac:dyDescent="0.25">
      <c r="A19" s="496" t="s">
        <v>118</v>
      </c>
      <c r="B19" s="7" t="s">
        <v>286</v>
      </c>
      <c r="C19" s="351"/>
    </row>
    <row r="20" spans="1:3" s="409" customFormat="1" ht="12" customHeight="1" thickBot="1" x14ac:dyDescent="0.25">
      <c r="A20" s="223" t="s">
        <v>19</v>
      </c>
      <c r="B20" s="266" t="s">
        <v>405</v>
      </c>
      <c r="C20" s="352">
        <f>SUM(C21:C23)</f>
        <v>0</v>
      </c>
    </row>
    <row r="21" spans="1:3" s="504" customFormat="1" ht="12" customHeight="1" x14ac:dyDescent="0.2">
      <c r="A21" s="496" t="s">
        <v>106</v>
      </c>
      <c r="B21" s="9" t="s">
        <v>258</v>
      </c>
      <c r="C21" s="350"/>
    </row>
    <row r="22" spans="1:3" s="504" customFormat="1" ht="12" customHeight="1" x14ac:dyDescent="0.2">
      <c r="A22" s="496" t="s">
        <v>107</v>
      </c>
      <c r="B22" s="8" t="s">
        <v>406</v>
      </c>
      <c r="C22" s="350"/>
    </row>
    <row r="23" spans="1:3" s="504" customFormat="1" ht="12" customHeight="1" x14ac:dyDescent="0.2">
      <c r="A23" s="496" t="s">
        <v>108</v>
      </c>
      <c r="B23" s="8" t="s">
        <v>407</v>
      </c>
      <c r="C23" s="350"/>
    </row>
    <row r="24" spans="1:3" s="504" customFormat="1" ht="12" customHeight="1" thickBot="1" x14ac:dyDescent="0.25">
      <c r="A24" s="496" t="s">
        <v>109</v>
      </c>
      <c r="B24" s="8" t="s">
        <v>523</v>
      </c>
      <c r="C24" s="350"/>
    </row>
    <row r="25" spans="1:3" s="504" customFormat="1" ht="12" customHeight="1" thickBot="1" x14ac:dyDescent="0.25">
      <c r="A25" s="230" t="s">
        <v>20</v>
      </c>
      <c r="B25" s="150" t="s">
        <v>172</v>
      </c>
      <c r="C25" s="379">
        <v>50000</v>
      </c>
    </row>
    <row r="26" spans="1:3" s="504" customFormat="1" ht="12" customHeight="1" thickBot="1" x14ac:dyDescent="0.25">
      <c r="A26" s="230" t="s">
        <v>21</v>
      </c>
      <c r="B26" s="150" t="s">
        <v>524</v>
      </c>
      <c r="C26" s="352">
        <f>+C27+C28+C29</f>
        <v>0</v>
      </c>
    </row>
    <row r="27" spans="1:3" s="504" customFormat="1" ht="12" customHeight="1" x14ac:dyDescent="0.2">
      <c r="A27" s="497" t="s">
        <v>268</v>
      </c>
      <c r="B27" s="498" t="s">
        <v>263</v>
      </c>
      <c r="C27" s="94"/>
    </row>
    <row r="28" spans="1:3" s="504" customFormat="1" ht="12" customHeight="1" x14ac:dyDescent="0.2">
      <c r="A28" s="497" t="s">
        <v>269</v>
      </c>
      <c r="B28" s="498" t="s">
        <v>406</v>
      </c>
      <c r="C28" s="350"/>
    </row>
    <row r="29" spans="1:3" s="504" customFormat="1" ht="12" customHeight="1" x14ac:dyDescent="0.2">
      <c r="A29" s="497" t="s">
        <v>270</v>
      </c>
      <c r="B29" s="499" t="s">
        <v>409</v>
      </c>
      <c r="C29" s="350"/>
    </row>
    <row r="30" spans="1:3" s="504" customFormat="1" ht="12" customHeight="1" thickBot="1" x14ac:dyDescent="0.25">
      <c r="A30" s="496" t="s">
        <v>271</v>
      </c>
      <c r="B30" s="166" t="s">
        <v>525</v>
      </c>
      <c r="C30" s="101"/>
    </row>
    <row r="31" spans="1:3" s="504" customFormat="1" ht="12" customHeight="1" thickBot="1" x14ac:dyDescent="0.25">
      <c r="A31" s="230" t="s">
        <v>22</v>
      </c>
      <c r="B31" s="150" t="s">
        <v>410</v>
      </c>
      <c r="C31" s="352">
        <f>+C32+C33+C34</f>
        <v>0</v>
      </c>
    </row>
    <row r="32" spans="1:3" s="504" customFormat="1" ht="12" customHeight="1" x14ac:dyDescent="0.2">
      <c r="A32" s="497" t="s">
        <v>93</v>
      </c>
      <c r="B32" s="498" t="s">
        <v>291</v>
      </c>
      <c r="C32" s="94"/>
    </row>
    <row r="33" spans="1:3" s="504" customFormat="1" ht="12" customHeight="1" x14ac:dyDescent="0.2">
      <c r="A33" s="497" t="s">
        <v>94</v>
      </c>
      <c r="B33" s="499" t="s">
        <v>292</v>
      </c>
      <c r="C33" s="353"/>
    </row>
    <row r="34" spans="1:3" s="504" customFormat="1" ht="12" customHeight="1" thickBot="1" x14ac:dyDescent="0.25">
      <c r="A34" s="496" t="s">
        <v>95</v>
      </c>
      <c r="B34" s="166" t="s">
        <v>293</v>
      </c>
      <c r="C34" s="101"/>
    </row>
    <row r="35" spans="1:3" s="409" customFormat="1" ht="12" customHeight="1" thickBot="1" x14ac:dyDescent="0.25">
      <c r="A35" s="230" t="s">
        <v>23</v>
      </c>
      <c r="B35" s="150" t="s">
        <v>379</v>
      </c>
      <c r="C35" s="379"/>
    </row>
    <row r="36" spans="1:3" s="409" customFormat="1" ht="12" customHeight="1" thickBot="1" x14ac:dyDescent="0.25">
      <c r="A36" s="230" t="s">
        <v>24</v>
      </c>
      <c r="B36" s="150" t="s">
        <v>411</v>
      </c>
      <c r="C36" s="400"/>
    </row>
    <row r="37" spans="1:3" s="409" customFormat="1" ht="12" customHeight="1" thickBot="1" x14ac:dyDescent="0.25">
      <c r="A37" s="223" t="s">
        <v>25</v>
      </c>
      <c r="B37" s="150" t="s">
        <v>412</v>
      </c>
      <c r="C37" s="401">
        <f>+C8+C20+C25+C26+C31+C35+C36</f>
        <v>781555</v>
      </c>
    </row>
    <row r="38" spans="1:3" s="409" customFormat="1" ht="12" customHeight="1" thickBot="1" x14ac:dyDescent="0.25">
      <c r="A38" s="267" t="s">
        <v>26</v>
      </c>
      <c r="B38" s="150" t="s">
        <v>413</v>
      </c>
      <c r="C38" s="401">
        <f>+C39+C40+C41</f>
        <v>88141620</v>
      </c>
    </row>
    <row r="39" spans="1:3" s="409" customFormat="1" ht="12" customHeight="1" x14ac:dyDescent="0.2">
      <c r="A39" s="497" t="s">
        <v>414</v>
      </c>
      <c r="B39" s="498" t="s">
        <v>236</v>
      </c>
      <c r="C39" s="94"/>
    </row>
    <row r="40" spans="1:3" s="409" customFormat="1" ht="12" customHeight="1" x14ac:dyDescent="0.2">
      <c r="A40" s="497" t="s">
        <v>415</v>
      </c>
      <c r="B40" s="499" t="s">
        <v>2</v>
      </c>
      <c r="C40" s="353"/>
    </row>
    <row r="41" spans="1:3" s="504" customFormat="1" ht="12" customHeight="1" thickBot="1" x14ac:dyDescent="0.25">
      <c r="A41" s="496" t="s">
        <v>416</v>
      </c>
      <c r="B41" s="166" t="s">
        <v>417</v>
      </c>
      <c r="C41" s="101">
        <f>C58-C37</f>
        <v>88141620</v>
      </c>
    </row>
    <row r="42" spans="1:3" s="504" customFormat="1" ht="15" customHeight="1" thickBot="1" x14ac:dyDescent="0.25">
      <c r="A42" s="267" t="s">
        <v>27</v>
      </c>
      <c r="B42" s="268" t="s">
        <v>418</v>
      </c>
      <c r="C42" s="404">
        <f>+C37+C38</f>
        <v>88923175</v>
      </c>
    </row>
    <row r="43" spans="1:3" s="504" customFormat="1" ht="15" customHeight="1" x14ac:dyDescent="0.2">
      <c r="A43" s="269"/>
      <c r="B43" s="270"/>
      <c r="C43" s="402"/>
    </row>
    <row r="44" spans="1:3" ht="13.5" thickBot="1" x14ac:dyDescent="0.25">
      <c r="A44" s="271"/>
      <c r="B44" s="272"/>
      <c r="C44" s="403"/>
    </row>
    <row r="45" spans="1:3" s="503" customFormat="1" ht="16.5" customHeight="1" thickBot="1" x14ac:dyDescent="0.25">
      <c r="A45" s="273"/>
      <c r="B45" s="274" t="s">
        <v>58</v>
      </c>
      <c r="C45" s="404"/>
    </row>
    <row r="46" spans="1:3" s="505" customFormat="1" ht="12" customHeight="1" thickBot="1" x14ac:dyDescent="0.25">
      <c r="A46" s="230" t="s">
        <v>18</v>
      </c>
      <c r="B46" s="150" t="s">
        <v>419</v>
      </c>
      <c r="C46" s="352">
        <f>SUM(C47:C51)</f>
        <v>88415175</v>
      </c>
    </row>
    <row r="47" spans="1:3" ht="12" customHeight="1" x14ac:dyDescent="0.2">
      <c r="A47" s="496" t="s">
        <v>100</v>
      </c>
      <c r="B47" s="9" t="s">
        <v>49</v>
      </c>
      <c r="C47" s="94">
        <v>53951893</v>
      </c>
    </row>
    <row r="48" spans="1:3" ht="12" customHeight="1" x14ac:dyDescent="0.2">
      <c r="A48" s="496" t="s">
        <v>101</v>
      </c>
      <c r="B48" s="8" t="s">
        <v>181</v>
      </c>
      <c r="C48" s="97">
        <v>12723897</v>
      </c>
    </row>
    <row r="49" spans="1:3" ht="12" customHeight="1" x14ac:dyDescent="0.2">
      <c r="A49" s="496" t="s">
        <v>102</v>
      </c>
      <c r="B49" s="8" t="s">
        <v>142</v>
      </c>
      <c r="C49" s="97">
        <f>19083730+2655655</f>
        <v>21739385</v>
      </c>
    </row>
    <row r="50" spans="1:3" ht="12" customHeight="1" x14ac:dyDescent="0.2">
      <c r="A50" s="496" t="s">
        <v>103</v>
      </c>
      <c r="B50" s="8" t="s">
        <v>182</v>
      </c>
      <c r="C50" s="97"/>
    </row>
    <row r="51" spans="1:3" ht="12" customHeight="1" thickBot="1" x14ac:dyDescent="0.25">
      <c r="A51" s="496" t="s">
        <v>149</v>
      </c>
      <c r="B51" s="8" t="s">
        <v>183</v>
      </c>
      <c r="C51" s="97"/>
    </row>
    <row r="52" spans="1:3" ht="12" customHeight="1" thickBot="1" x14ac:dyDescent="0.25">
      <c r="A52" s="230" t="s">
        <v>19</v>
      </c>
      <c r="B52" s="150" t="s">
        <v>420</v>
      </c>
      <c r="C52" s="352">
        <f>SUM(C53:C55)</f>
        <v>508000</v>
      </c>
    </row>
    <row r="53" spans="1:3" s="505" customFormat="1" ht="12" customHeight="1" x14ac:dyDescent="0.2">
      <c r="A53" s="496" t="s">
        <v>106</v>
      </c>
      <c r="B53" s="9" t="s">
        <v>226</v>
      </c>
      <c r="C53" s="94">
        <v>508000</v>
      </c>
    </row>
    <row r="54" spans="1:3" ht="12" customHeight="1" x14ac:dyDescent="0.2">
      <c r="A54" s="496" t="s">
        <v>107</v>
      </c>
      <c r="B54" s="8" t="s">
        <v>185</v>
      </c>
      <c r="C54" s="97"/>
    </row>
    <row r="55" spans="1:3" ht="12" customHeight="1" x14ac:dyDescent="0.2">
      <c r="A55" s="496" t="s">
        <v>108</v>
      </c>
      <c r="B55" s="8" t="s">
        <v>59</v>
      </c>
      <c r="C55" s="97"/>
    </row>
    <row r="56" spans="1:3" ht="12" customHeight="1" thickBot="1" x14ac:dyDescent="0.25">
      <c r="A56" s="496" t="s">
        <v>109</v>
      </c>
      <c r="B56" s="8" t="s">
        <v>526</v>
      </c>
      <c r="C56" s="97"/>
    </row>
    <row r="57" spans="1:3" ht="15" customHeight="1" thickBot="1" x14ac:dyDescent="0.25">
      <c r="A57" s="230" t="s">
        <v>20</v>
      </c>
      <c r="B57" s="150" t="s">
        <v>12</v>
      </c>
      <c r="C57" s="379"/>
    </row>
    <row r="58" spans="1:3" ht="13.5" thickBot="1" x14ac:dyDescent="0.25">
      <c r="A58" s="230" t="s">
        <v>21</v>
      </c>
      <c r="B58" s="275" t="s">
        <v>533</v>
      </c>
      <c r="C58" s="405">
        <f>+C46+C52+C57</f>
        <v>88923175</v>
      </c>
    </row>
    <row r="59" spans="1:3" ht="15" customHeight="1" thickBot="1" x14ac:dyDescent="0.25">
      <c r="C59" s="406"/>
    </row>
    <row r="60" spans="1:3" ht="14.25" customHeight="1" thickBot="1" x14ac:dyDescent="0.25">
      <c r="A60" s="278" t="s">
        <v>521</v>
      </c>
      <c r="B60" s="279"/>
      <c r="C60" s="147">
        <v>19</v>
      </c>
    </row>
    <row r="61" spans="1:3" ht="13.5" thickBot="1" x14ac:dyDescent="0.25">
      <c r="A61" s="278" t="s">
        <v>204</v>
      </c>
      <c r="B61" s="279"/>
      <c r="C61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topLeftCell="A16" zoomScaleNormal="100" workbookViewId="0">
      <selection activeCell="C2" sqref="C2"/>
    </sheetView>
  </sheetViews>
  <sheetFormatPr defaultRowHeight="12.75" x14ac:dyDescent="0.2"/>
  <cols>
    <col min="1" max="1" width="13.83203125" style="276" customWidth="1"/>
    <col min="2" max="2" width="79.1640625" style="277" customWidth="1"/>
    <col min="3" max="3" width="25" style="277" customWidth="1"/>
    <col min="4" max="16384" width="9.33203125" style="277"/>
  </cols>
  <sheetData>
    <row r="1" spans="1:3" s="256" customFormat="1" ht="21" customHeight="1" thickBot="1" x14ac:dyDescent="0.25">
      <c r="A1" s="255"/>
      <c r="B1" s="257"/>
      <c r="C1" s="500" t="str">
        <f>+CONCATENATE("9.2.2. melléklet a 6/",LEFT(ÖSSZEFÜGGÉSEK!A5,4),". (III. 13.) önkormányzati rendelethez")</f>
        <v>9.2.2. melléklet a 6/2017. (III. 13.) önkormányzati rendelethez</v>
      </c>
    </row>
    <row r="2" spans="1:3" s="501" customFormat="1" ht="25.5" customHeight="1" x14ac:dyDescent="0.2">
      <c r="A2" s="451" t="s">
        <v>202</v>
      </c>
      <c r="B2" s="393" t="s">
        <v>571</v>
      </c>
      <c r="C2" s="407" t="s">
        <v>60</v>
      </c>
    </row>
    <row r="3" spans="1:3" s="501" customFormat="1" ht="24.75" thickBot="1" x14ac:dyDescent="0.25">
      <c r="A3" s="494" t="s">
        <v>201</v>
      </c>
      <c r="B3" s="394" t="s">
        <v>422</v>
      </c>
      <c r="C3" s="408" t="s">
        <v>60</v>
      </c>
    </row>
    <row r="4" spans="1:3" s="502" customFormat="1" ht="15.95" customHeight="1" thickBot="1" x14ac:dyDescent="0.3">
      <c r="A4" s="259"/>
      <c r="B4" s="259"/>
      <c r="C4" s="260" t="s">
        <v>578</v>
      </c>
    </row>
    <row r="5" spans="1:3" ht="13.5" thickBot="1" x14ac:dyDescent="0.25">
      <c r="A5" s="452" t="s">
        <v>203</v>
      </c>
      <c r="B5" s="261" t="s">
        <v>567</v>
      </c>
      <c r="C5" s="262" t="s">
        <v>56</v>
      </c>
    </row>
    <row r="6" spans="1:3" s="503" customFormat="1" ht="12.95" customHeight="1" thickBot="1" x14ac:dyDescent="0.25">
      <c r="A6" s="223"/>
      <c r="B6" s="224" t="s">
        <v>496</v>
      </c>
      <c r="C6" s="225" t="s">
        <v>497</v>
      </c>
    </row>
    <row r="7" spans="1:3" s="503" customFormat="1" ht="15.95" customHeight="1" thickBot="1" x14ac:dyDescent="0.25">
      <c r="A7" s="263"/>
      <c r="B7" s="264" t="s">
        <v>57</v>
      </c>
      <c r="C7" s="265"/>
    </row>
    <row r="8" spans="1:3" s="409" customFormat="1" ht="12" customHeight="1" thickBot="1" x14ac:dyDescent="0.25">
      <c r="A8" s="223" t="s">
        <v>18</v>
      </c>
      <c r="B8" s="266" t="s">
        <v>522</v>
      </c>
      <c r="C8" s="352">
        <f>SUM(C9:C19)</f>
        <v>0</v>
      </c>
    </row>
    <row r="9" spans="1:3" s="409" customFormat="1" ht="12" customHeight="1" x14ac:dyDescent="0.2">
      <c r="A9" s="495" t="s">
        <v>100</v>
      </c>
      <c r="B9" s="10" t="s">
        <v>277</v>
      </c>
      <c r="C9" s="398"/>
    </row>
    <row r="10" spans="1:3" s="409" customFormat="1" ht="12" customHeight="1" x14ac:dyDescent="0.2">
      <c r="A10" s="496" t="s">
        <v>101</v>
      </c>
      <c r="B10" s="8" t="s">
        <v>278</v>
      </c>
      <c r="C10" s="350"/>
    </row>
    <row r="11" spans="1:3" s="409" customFormat="1" ht="12" customHeight="1" x14ac:dyDescent="0.2">
      <c r="A11" s="496" t="s">
        <v>102</v>
      </c>
      <c r="B11" s="8" t="s">
        <v>279</v>
      </c>
      <c r="C11" s="350"/>
    </row>
    <row r="12" spans="1:3" s="409" customFormat="1" ht="12" customHeight="1" x14ac:dyDescent="0.2">
      <c r="A12" s="496" t="s">
        <v>103</v>
      </c>
      <c r="B12" s="8" t="s">
        <v>280</v>
      </c>
      <c r="C12" s="350"/>
    </row>
    <row r="13" spans="1:3" s="409" customFormat="1" ht="12" customHeight="1" x14ac:dyDescent="0.2">
      <c r="A13" s="496" t="s">
        <v>149</v>
      </c>
      <c r="B13" s="8" t="s">
        <v>281</v>
      </c>
      <c r="C13" s="350"/>
    </row>
    <row r="14" spans="1:3" s="409" customFormat="1" ht="12" customHeight="1" x14ac:dyDescent="0.2">
      <c r="A14" s="496" t="s">
        <v>104</v>
      </c>
      <c r="B14" s="8" t="s">
        <v>403</v>
      </c>
      <c r="C14" s="350"/>
    </row>
    <row r="15" spans="1:3" s="409" customFormat="1" ht="12" customHeight="1" x14ac:dyDescent="0.2">
      <c r="A15" s="496" t="s">
        <v>105</v>
      </c>
      <c r="B15" s="7" t="s">
        <v>404</v>
      </c>
      <c r="C15" s="350"/>
    </row>
    <row r="16" spans="1:3" s="409" customFormat="1" ht="12" customHeight="1" x14ac:dyDescent="0.2">
      <c r="A16" s="496" t="s">
        <v>115</v>
      </c>
      <c r="B16" s="8" t="s">
        <v>284</v>
      </c>
      <c r="C16" s="399"/>
    </row>
    <row r="17" spans="1:3" s="504" customFormat="1" ht="12" customHeight="1" x14ac:dyDescent="0.2">
      <c r="A17" s="496" t="s">
        <v>116</v>
      </c>
      <c r="B17" s="8" t="s">
        <v>285</v>
      </c>
      <c r="C17" s="350"/>
    </row>
    <row r="18" spans="1:3" s="504" customFormat="1" ht="12" customHeight="1" x14ac:dyDescent="0.2">
      <c r="A18" s="496" t="s">
        <v>117</v>
      </c>
      <c r="B18" s="8" t="s">
        <v>440</v>
      </c>
      <c r="C18" s="351"/>
    </row>
    <row r="19" spans="1:3" s="504" customFormat="1" ht="12" customHeight="1" thickBot="1" x14ac:dyDescent="0.25">
      <c r="A19" s="496" t="s">
        <v>118</v>
      </c>
      <c r="B19" s="7" t="s">
        <v>286</v>
      </c>
      <c r="C19" s="351"/>
    </row>
    <row r="20" spans="1:3" s="409" customFormat="1" ht="12" customHeight="1" thickBot="1" x14ac:dyDescent="0.25">
      <c r="A20" s="223" t="s">
        <v>19</v>
      </c>
      <c r="B20" s="266" t="s">
        <v>405</v>
      </c>
      <c r="C20" s="352">
        <f>SUM(C21:C23)</f>
        <v>0</v>
      </c>
    </row>
    <row r="21" spans="1:3" s="504" customFormat="1" ht="12" customHeight="1" x14ac:dyDescent="0.2">
      <c r="A21" s="496" t="s">
        <v>106</v>
      </c>
      <c r="B21" s="9" t="s">
        <v>258</v>
      </c>
      <c r="C21" s="350"/>
    </row>
    <row r="22" spans="1:3" s="504" customFormat="1" ht="12" customHeight="1" x14ac:dyDescent="0.2">
      <c r="A22" s="496" t="s">
        <v>107</v>
      </c>
      <c r="B22" s="8" t="s">
        <v>406</v>
      </c>
      <c r="C22" s="350"/>
    </row>
    <row r="23" spans="1:3" s="504" customFormat="1" ht="12" customHeight="1" x14ac:dyDescent="0.2">
      <c r="A23" s="496" t="s">
        <v>108</v>
      </c>
      <c r="B23" s="8" t="s">
        <v>407</v>
      </c>
      <c r="C23" s="350"/>
    </row>
    <row r="24" spans="1:3" s="504" customFormat="1" ht="12" customHeight="1" thickBot="1" x14ac:dyDescent="0.25">
      <c r="A24" s="496" t="s">
        <v>109</v>
      </c>
      <c r="B24" s="8" t="s">
        <v>523</v>
      </c>
      <c r="C24" s="350"/>
    </row>
    <row r="25" spans="1:3" s="504" customFormat="1" ht="12" customHeight="1" thickBot="1" x14ac:dyDescent="0.25">
      <c r="A25" s="230" t="s">
        <v>20</v>
      </c>
      <c r="B25" s="150" t="s">
        <v>172</v>
      </c>
      <c r="C25" s="379"/>
    </row>
    <row r="26" spans="1:3" s="504" customFormat="1" ht="12" customHeight="1" thickBot="1" x14ac:dyDescent="0.25">
      <c r="A26" s="230" t="s">
        <v>21</v>
      </c>
      <c r="B26" s="150" t="s">
        <v>524</v>
      </c>
      <c r="C26" s="352">
        <f>+C27+C28+C29</f>
        <v>0</v>
      </c>
    </row>
    <row r="27" spans="1:3" s="504" customFormat="1" ht="12" customHeight="1" x14ac:dyDescent="0.2">
      <c r="A27" s="497" t="s">
        <v>268</v>
      </c>
      <c r="B27" s="498" t="s">
        <v>263</v>
      </c>
      <c r="C27" s="94"/>
    </row>
    <row r="28" spans="1:3" s="504" customFormat="1" ht="12" customHeight="1" x14ac:dyDescent="0.2">
      <c r="A28" s="497" t="s">
        <v>269</v>
      </c>
      <c r="B28" s="498" t="s">
        <v>406</v>
      </c>
      <c r="C28" s="350"/>
    </row>
    <row r="29" spans="1:3" s="504" customFormat="1" ht="12" customHeight="1" x14ac:dyDescent="0.2">
      <c r="A29" s="497" t="s">
        <v>270</v>
      </c>
      <c r="B29" s="499" t="s">
        <v>409</v>
      </c>
      <c r="C29" s="350"/>
    </row>
    <row r="30" spans="1:3" s="504" customFormat="1" ht="12" customHeight="1" thickBot="1" x14ac:dyDescent="0.25">
      <c r="A30" s="496" t="s">
        <v>271</v>
      </c>
      <c r="B30" s="166" t="s">
        <v>525</v>
      </c>
      <c r="C30" s="101"/>
    </row>
    <row r="31" spans="1:3" s="504" customFormat="1" ht="12" customHeight="1" thickBot="1" x14ac:dyDescent="0.25">
      <c r="A31" s="230" t="s">
        <v>22</v>
      </c>
      <c r="B31" s="150" t="s">
        <v>410</v>
      </c>
      <c r="C31" s="352">
        <f>+C32+C33+C34</f>
        <v>0</v>
      </c>
    </row>
    <row r="32" spans="1:3" s="504" customFormat="1" ht="12" customHeight="1" x14ac:dyDescent="0.2">
      <c r="A32" s="497" t="s">
        <v>93</v>
      </c>
      <c r="B32" s="498" t="s">
        <v>291</v>
      </c>
      <c r="C32" s="94"/>
    </row>
    <row r="33" spans="1:3" s="504" customFormat="1" ht="12" customHeight="1" x14ac:dyDescent="0.2">
      <c r="A33" s="497" t="s">
        <v>94</v>
      </c>
      <c r="B33" s="499" t="s">
        <v>292</v>
      </c>
      <c r="C33" s="353"/>
    </row>
    <row r="34" spans="1:3" s="504" customFormat="1" ht="12" customHeight="1" thickBot="1" x14ac:dyDescent="0.25">
      <c r="A34" s="496" t="s">
        <v>95</v>
      </c>
      <c r="B34" s="166" t="s">
        <v>293</v>
      </c>
      <c r="C34" s="101"/>
    </row>
    <row r="35" spans="1:3" s="409" customFormat="1" ht="12" customHeight="1" thickBot="1" x14ac:dyDescent="0.25">
      <c r="A35" s="230" t="s">
        <v>23</v>
      </c>
      <c r="B35" s="150" t="s">
        <v>379</v>
      </c>
      <c r="C35" s="379"/>
    </row>
    <row r="36" spans="1:3" s="409" customFormat="1" ht="12" customHeight="1" thickBot="1" x14ac:dyDescent="0.25">
      <c r="A36" s="230" t="s">
        <v>24</v>
      </c>
      <c r="B36" s="150" t="s">
        <v>411</v>
      </c>
      <c r="C36" s="400"/>
    </row>
    <row r="37" spans="1:3" s="409" customFormat="1" ht="12" customHeight="1" thickBot="1" x14ac:dyDescent="0.25">
      <c r="A37" s="223" t="s">
        <v>25</v>
      </c>
      <c r="B37" s="150" t="s">
        <v>412</v>
      </c>
      <c r="C37" s="401">
        <f>+C8+C20+C25+C26+C31+C35+C36</f>
        <v>0</v>
      </c>
    </row>
    <row r="38" spans="1:3" s="409" customFormat="1" ht="12" customHeight="1" thickBot="1" x14ac:dyDescent="0.25">
      <c r="A38" s="267" t="s">
        <v>26</v>
      </c>
      <c r="B38" s="150" t="s">
        <v>413</v>
      </c>
      <c r="C38" s="401">
        <f>+C39+C40+C41</f>
        <v>0</v>
      </c>
    </row>
    <row r="39" spans="1:3" s="409" customFormat="1" ht="12" customHeight="1" x14ac:dyDescent="0.2">
      <c r="A39" s="497" t="s">
        <v>414</v>
      </c>
      <c r="B39" s="498" t="s">
        <v>236</v>
      </c>
      <c r="C39" s="94"/>
    </row>
    <row r="40" spans="1:3" s="409" customFormat="1" ht="12" customHeight="1" x14ac:dyDescent="0.2">
      <c r="A40" s="497" t="s">
        <v>415</v>
      </c>
      <c r="B40" s="499" t="s">
        <v>2</v>
      </c>
      <c r="C40" s="353"/>
    </row>
    <row r="41" spans="1:3" s="504" customFormat="1" ht="12" customHeight="1" thickBot="1" x14ac:dyDescent="0.25">
      <c r="A41" s="496" t="s">
        <v>416</v>
      </c>
      <c r="B41" s="166" t="s">
        <v>417</v>
      </c>
      <c r="C41" s="101"/>
    </row>
    <row r="42" spans="1:3" s="504" customFormat="1" ht="15" customHeight="1" thickBot="1" x14ac:dyDescent="0.25">
      <c r="A42" s="267" t="s">
        <v>27</v>
      </c>
      <c r="B42" s="268" t="s">
        <v>418</v>
      </c>
      <c r="C42" s="404">
        <f>+C37+C38</f>
        <v>0</v>
      </c>
    </row>
    <row r="43" spans="1:3" s="504" customFormat="1" ht="15" customHeight="1" x14ac:dyDescent="0.2">
      <c r="A43" s="269"/>
      <c r="B43" s="270"/>
      <c r="C43" s="402"/>
    </row>
    <row r="44" spans="1:3" ht="13.5" thickBot="1" x14ac:dyDescent="0.25">
      <c r="A44" s="271"/>
      <c r="B44" s="272"/>
      <c r="C44" s="403"/>
    </row>
    <row r="45" spans="1:3" s="503" customFormat="1" ht="16.5" customHeight="1" thickBot="1" x14ac:dyDescent="0.25">
      <c r="A45" s="273"/>
      <c r="B45" s="274" t="s">
        <v>58</v>
      </c>
      <c r="C45" s="404"/>
    </row>
    <row r="46" spans="1:3" s="505" customFormat="1" ht="12" customHeight="1" thickBot="1" x14ac:dyDescent="0.25">
      <c r="A46" s="230" t="s">
        <v>18</v>
      </c>
      <c r="B46" s="150" t="s">
        <v>419</v>
      </c>
      <c r="C46" s="352">
        <f>SUM(C47:C51)</f>
        <v>0</v>
      </c>
    </row>
    <row r="47" spans="1:3" ht="12" customHeight="1" x14ac:dyDescent="0.2">
      <c r="A47" s="496" t="s">
        <v>100</v>
      </c>
      <c r="B47" s="9" t="s">
        <v>49</v>
      </c>
      <c r="C47" s="94"/>
    </row>
    <row r="48" spans="1:3" ht="12" customHeight="1" x14ac:dyDescent="0.2">
      <c r="A48" s="496" t="s">
        <v>101</v>
      </c>
      <c r="B48" s="8" t="s">
        <v>181</v>
      </c>
      <c r="C48" s="97"/>
    </row>
    <row r="49" spans="1:3" ht="12" customHeight="1" x14ac:dyDescent="0.2">
      <c r="A49" s="496" t="s">
        <v>102</v>
      </c>
      <c r="B49" s="8" t="s">
        <v>142</v>
      </c>
      <c r="C49" s="97"/>
    </row>
    <row r="50" spans="1:3" ht="12" customHeight="1" x14ac:dyDescent="0.2">
      <c r="A50" s="496" t="s">
        <v>103</v>
      </c>
      <c r="B50" s="8" t="s">
        <v>182</v>
      </c>
      <c r="C50" s="97"/>
    </row>
    <row r="51" spans="1:3" ht="12" customHeight="1" thickBot="1" x14ac:dyDescent="0.25">
      <c r="A51" s="496" t="s">
        <v>149</v>
      </c>
      <c r="B51" s="8" t="s">
        <v>183</v>
      </c>
      <c r="C51" s="97"/>
    </row>
    <row r="52" spans="1:3" ht="12" customHeight="1" thickBot="1" x14ac:dyDescent="0.25">
      <c r="A52" s="230" t="s">
        <v>19</v>
      </c>
      <c r="B52" s="150" t="s">
        <v>420</v>
      </c>
      <c r="C52" s="352">
        <f>SUM(C53:C55)</f>
        <v>0</v>
      </c>
    </row>
    <row r="53" spans="1:3" s="505" customFormat="1" ht="12" customHeight="1" x14ac:dyDescent="0.2">
      <c r="A53" s="496" t="s">
        <v>106</v>
      </c>
      <c r="B53" s="9" t="s">
        <v>226</v>
      </c>
      <c r="C53" s="94"/>
    </row>
    <row r="54" spans="1:3" ht="12" customHeight="1" x14ac:dyDescent="0.2">
      <c r="A54" s="496" t="s">
        <v>107</v>
      </c>
      <c r="B54" s="8" t="s">
        <v>185</v>
      </c>
      <c r="C54" s="97"/>
    </row>
    <row r="55" spans="1:3" ht="12" customHeight="1" x14ac:dyDescent="0.2">
      <c r="A55" s="496" t="s">
        <v>108</v>
      </c>
      <c r="B55" s="8" t="s">
        <v>59</v>
      </c>
      <c r="C55" s="97"/>
    </row>
    <row r="56" spans="1:3" ht="12" customHeight="1" thickBot="1" x14ac:dyDescent="0.25">
      <c r="A56" s="496" t="s">
        <v>109</v>
      </c>
      <c r="B56" s="8" t="s">
        <v>526</v>
      </c>
      <c r="C56" s="97"/>
    </row>
    <row r="57" spans="1:3" ht="15" customHeight="1" thickBot="1" x14ac:dyDescent="0.25">
      <c r="A57" s="230" t="s">
        <v>20</v>
      </c>
      <c r="B57" s="150" t="s">
        <v>12</v>
      </c>
      <c r="C57" s="379"/>
    </row>
    <row r="58" spans="1:3" ht="13.5" thickBot="1" x14ac:dyDescent="0.25">
      <c r="A58" s="230" t="s">
        <v>21</v>
      </c>
      <c r="B58" s="275" t="s">
        <v>533</v>
      </c>
      <c r="C58" s="405">
        <f>+C46+C52+C57</f>
        <v>0</v>
      </c>
    </row>
    <row r="59" spans="1:3" ht="15" customHeight="1" thickBot="1" x14ac:dyDescent="0.25">
      <c r="C59" s="406"/>
    </row>
    <row r="60" spans="1:3" ht="14.25" customHeight="1" thickBot="1" x14ac:dyDescent="0.25">
      <c r="A60" s="278" t="s">
        <v>521</v>
      </c>
      <c r="B60" s="279"/>
      <c r="C60" s="147"/>
    </row>
    <row r="61" spans="1:3" ht="13.5" thickBot="1" x14ac:dyDescent="0.25">
      <c r="A61" s="278" t="s">
        <v>204</v>
      </c>
      <c r="B61" s="279"/>
      <c r="C61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zoomScaleNormal="100" workbookViewId="0">
      <selection activeCell="C8" sqref="C8:C58"/>
    </sheetView>
  </sheetViews>
  <sheetFormatPr defaultRowHeight="12.75" x14ac:dyDescent="0.2"/>
  <cols>
    <col min="1" max="1" width="13.83203125" style="276" customWidth="1"/>
    <col min="2" max="2" width="79.1640625" style="277" customWidth="1"/>
    <col min="3" max="3" width="25" style="277" customWidth="1"/>
    <col min="4" max="16384" width="9.33203125" style="277"/>
  </cols>
  <sheetData>
    <row r="1" spans="1:3" s="256" customFormat="1" ht="21" customHeight="1" thickBot="1" x14ac:dyDescent="0.25">
      <c r="A1" s="255"/>
      <c r="B1" s="257"/>
      <c r="C1" s="500" t="str">
        <f>+CONCATENATE("9.2.3. melléklet a 6/",LEFT(ÖSSZEFÜGGÉSEK!A5,4),". (III. 13.) önkormányzati rendelethez")</f>
        <v>9.2.3. melléklet a 6/2017. (III. 13.) önkormányzati rendelethez</v>
      </c>
    </row>
    <row r="2" spans="1:3" s="501" customFormat="1" ht="25.5" customHeight="1" x14ac:dyDescent="0.2">
      <c r="A2" s="451" t="s">
        <v>202</v>
      </c>
      <c r="B2" s="393" t="s">
        <v>571</v>
      </c>
      <c r="C2" s="407" t="s">
        <v>60</v>
      </c>
    </row>
    <row r="3" spans="1:3" s="501" customFormat="1" ht="24.75" thickBot="1" x14ac:dyDescent="0.25">
      <c r="A3" s="494" t="s">
        <v>201</v>
      </c>
      <c r="B3" s="394" t="s">
        <v>534</v>
      </c>
      <c r="C3" s="408" t="s">
        <v>61</v>
      </c>
    </row>
    <row r="4" spans="1:3" s="502" customFormat="1" ht="15.95" customHeight="1" thickBot="1" x14ac:dyDescent="0.3">
      <c r="A4" s="259"/>
      <c r="B4" s="259"/>
      <c r="C4" s="260" t="s">
        <v>578</v>
      </c>
    </row>
    <row r="5" spans="1:3" ht="13.5" thickBot="1" x14ac:dyDescent="0.25">
      <c r="A5" s="452" t="s">
        <v>203</v>
      </c>
      <c r="B5" s="261" t="s">
        <v>567</v>
      </c>
      <c r="C5" s="262" t="s">
        <v>56</v>
      </c>
    </row>
    <row r="6" spans="1:3" s="503" customFormat="1" ht="12.95" customHeight="1" thickBot="1" x14ac:dyDescent="0.25">
      <c r="A6" s="223"/>
      <c r="B6" s="224" t="s">
        <v>496</v>
      </c>
      <c r="C6" s="225" t="s">
        <v>497</v>
      </c>
    </row>
    <row r="7" spans="1:3" s="503" customFormat="1" ht="15.95" customHeight="1" thickBot="1" x14ac:dyDescent="0.25">
      <c r="A7" s="263"/>
      <c r="B7" s="264" t="s">
        <v>57</v>
      </c>
      <c r="C7" s="265"/>
    </row>
    <row r="8" spans="1:3" s="409" customFormat="1" ht="12" customHeight="1" thickBot="1" x14ac:dyDescent="0.25">
      <c r="A8" s="223" t="s">
        <v>18</v>
      </c>
      <c r="B8" s="266" t="s">
        <v>522</v>
      </c>
      <c r="C8" s="352">
        <f>SUM(C9:C19)</f>
        <v>0</v>
      </c>
    </row>
    <row r="9" spans="1:3" s="409" customFormat="1" ht="12" customHeight="1" x14ac:dyDescent="0.2">
      <c r="A9" s="495" t="s">
        <v>100</v>
      </c>
      <c r="B9" s="10" t="s">
        <v>277</v>
      </c>
      <c r="C9" s="398"/>
    </row>
    <row r="10" spans="1:3" s="409" customFormat="1" ht="12" customHeight="1" x14ac:dyDescent="0.2">
      <c r="A10" s="496" t="s">
        <v>101</v>
      </c>
      <c r="B10" s="8" t="s">
        <v>278</v>
      </c>
      <c r="C10" s="350"/>
    </row>
    <row r="11" spans="1:3" s="409" customFormat="1" ht="12" customHeight="1" x14ac:dyDescent="0.2">
      <c r="A11" s="496" t="s">
        <v>102</v>
      </c>
      <c r="B11" s="8" t="s">
        <v>279</v>
      </c>
      <c r="C11" s="350"/>
    </row>
    <row r="12" spans="1:3" s="409" customFormat="1" ht="12" customHeight="1" x14ac:dyDescent="0.2">
      <c r="A12" s="496" t="s">
        <v>103</v>
      </c>
      <c r="B12" s="8" t="s">
        <v>280</v>
      </c>
      <c r="C12" s="350"/>
    </row>
    <row r="13" spans="1:3" s="409" customFormat="1" ht="12" customHeight="1" x14ac:dyDescent="0.2">
      <c r="A13" s="496" t="s">
        <v>149</v>
      </c>
      <c r="B13" s="8" t="s">
        <v>281</v>
      </c>
      <c r="C13" s="350"/>
    </row>
    <row r="14" spans="1:3" s="409" customFormat="1" ht="12" customHeight="1" x14ac:dyDescent="0.2">
      <c r="A14" s="496" t="s">
        <v>104</v>
      </c>
      <c r="B14" s="8" t="s">
        <v>403</v>
      </c>
      <c r="C14" s="350"/>
    </row>
    <row r="15" spans="1:3" s="409" customFormat="1" ht="12" customHeight="1" x14ac:dyDescent="0.2">
      <c r="A15" s="496" t="s">
        <v>105</v>
      </c>
      <c r="B15" s="7" t="s">
        <v>404</v>
      </c>
      <c r="C15" s="350"/>
    </row>
    <row r="16" spans="1:3" s="409" customFormat="1" ht="12" customHeight="1" x14ac:dyDescent="0.2">
      <c r="A16" s="496" t="s">
        <v>115</v>
      </c>
      <c r="B16" s="8" t="s">
        <v>284</v>
      </c>
      <c r="C16" s="399"/>
    </row>
    <row r="17" spans="1:3" s="504" customFormat="1" ht="12" customHeight="1" x14ac:dyDescent="0.2">
      <c r="A17" s="496" t="s">
        <v>116</v>
      </c>
      <c r="B17" s="8" t="s">
        <v>285</v>
      </c>
      <c r="C17" s="350"/>
    </row>
    <row r="18" spans="1:3" s="504" customFormat="1" ht="12" customHeight="1" x14ac:dyDescent="0.2">
      <c r="A18" s="496" t="s">
        <v>117</v>
      </c>
      <c r="B18" s="8" t="s">
        <v>440</v>
      </c>
      <c r="C18" s="351"/>
    </row>
    <row r="19" spans="1:3" s="504" customFormat="1" ht="12" customHeight="1" thickBot="1" x14ac:dyDescent="0.25">
      <c r="A19" s="496" t="s">
        <v>118</v>
      </c>
      <c r="B19" s="7" t="s">
        <v>286</v>
      </c>
      <c r="C19" s="351"/>
    </row>
    <row r="20" spans="1:3" s="409" customFormat="1" ht="12" customHeight="1" thickBot="1" x14ac:dyDescent="0.25">
      <c r="A20" s="223" t="s">
        <v>19</v>
      </c>
      <c r="B20" s="266" t="s">
        <v>405</v>
      </c>
      <c r="C20" s="352">
        <f>SUM(C21:C23)</f>
        <v>0</v>
      </c>
    </row>
    <row r="21" spans="1:3" s="504" customFormat="1" ht="12" customHeight="1" x14ac:dyDescent="0.2">
      <c r="A21" s="496" t="s">
        <v>106</v>
      </c>
      <c r="B21" s="9" t="s">
        <v>258</v>
      </c>
      <c r="C21" s="350"/>
    </row>
    <row r="22" spans="1:3" s="504" customFormat="1" ht="12" customHeight="1" x14ac:dyDescent="0.2">
      <c r="A22" s="496" t="s">
        <v>107</v>
      </c>
      <c r="B22" s="8" t="s">
        <v>406</v>
      </c>
      <c r="C22" s="350"/>
    </row>
    <row r="23" spans="1:3" s="504" customFormat="1" ht="12" customHeight="1" x14ac:dyDescent="0.2">
      <c r="A23" s="496" t="s">
        <v>108</v>
      </c>
      <c r="B23" s="8" t="s">
        <v>407</v>
      </c>
      <c r="C23" s="350"/>
    </row>
    <row r="24" spans="1:3" s="504" customFormat="1" ht="12" customHeight="1" thickBot="1" x14ac:dyDescent="0.25">
      <c r="A24" s="496" t="s">
        <v>109</v>
      </c>
      <c r="B24" s="8" t="s">
        <v>523</v>
      </c>
      <c r="C24" s="350"/>
    </row>
    <row r="25" spans="1:3" s="504" customFormat="1" ht="12" customHeight="1" thickBot="1" x14ac:dyDescent="0.25">
      <c r="A25" s="230" t="s">
        <v>20</v>
      </c>
      <c r="B25" s="150" t="s">
        <v>172</v>
      </c>
      <c r="C25" s="379"/>
    </row>
    <row r="26" spans="1:3" s="504" customFormat="1" ht="12" customHeight="1" thickBot="1" x14ac:dyDescent="0.25">
      <c r="A26" s="230" t="s">
        <v>21</v>
      </c>
      <c r="B26" s="150" t="s">
        <v>524</v>
      </c>
      <c r="C26" s="352">
        <f>+C27+C28+C29</f>
        <v>0</v>
      </c>
    </row>
    <row r="27" spans="1:3" s="504" customFormat="1" ht="12" customHeight="1" x14ac:dyDescent="0.2">
      <c r="A27" s="497" t="s">
        <v>268</v>
      </c>
      <c r="B27" s="498" t="s">
        <v>263</v>
      </c>
      <c r="C27" s="94"/>
    </row>
    <row r="28" spans="1:3" s="504" customFormat="1" ht="12" customHeight="1" x14ac:dyDescent="0.2">
      <c r="A28" s="497" t="s">
        <v>269</v>
      </c>
      <c r="B28" s="498" t="s">
        <v>406</v>
      </c>
      <c r="C28" s="350"/>
    </row>
    <row r="29" spans="1:3" s="504" customFormat="1" ht="12" customHeight="1" x14ac:dyDescent="0.2">
      <c r="A29" s="497" t="s">
        <v>270</v>
      </c>
      <c r="B29" s="499" t="s">
        <v>409</v>
      </c>
      <c r="C29" s="350"/>
    </row>
    <row r="30" spans="1:3" s="504" customFormat="1" ht="12" customHeight="1" thickBot="1" x14ac:dyDescent="0.25">
      <c r="A30" s="496" t="s">
        <v>271</v>
      </c>
      <c r="B30" s="166" t="s">
        <v>525</v>
      </c>
      <c r="C30" s="101"/>
    </row>
    <row r="31" spans="1:3" s="504" customFormat="1" ht="12" customHeight="1" thickBot="1" x14ac:dyDescent="0.25">
      <c r="A31" s="230" t="s">
        <v>22</v>
      </c>
      <c r="B31" s="150" t="s">
        <v>410</v>
      </c>
      <c r="C31" s="352">
        <f>+C32+C33+C34</f>
        <v>0</v>
      </c>
    </row>
    <row r="32" spans="1:3" s="504" customFormat="1" ht="12" customHeight="1" x14ac:dyDescent="0.2">
      <c r="A32" s="497" t="s">
        <v>93</v>
      </c>
      <c r="B32" s="498" t="s">
        <v>291</v>
      </c>
      <c r="C32" s="94"/>
    </row>
    <row r="33" spans="1:3" s="504" customFormat="1" ht="12" customHeight="1" x14ac:dyDescent="0.2">
      <c r="A33" s="497" t="s">
        <v>94</v>
      </c>
      <c r="B33" s="499" t="s">
        <v>292</v>
      </c>
      <c r="C33" s="353"/>
    </row>
    <row r="34" spans="1:3" s="504" customFormat="1" ht="12" customHeight="1" thickBot="1" x14ac:dyDescent="0.25">
      <c r="A34" s="496" t="s">
        <v>95</v>
      </c>
      <c r="B34" s="166" t="s">
        <v>293</v>
      </c>
      <c r="C34" s="101"/>
    </row>
    <row r="35" spans="1:3" s="409" customFormat="1" ht="12" customHeight="1" thickBot="1" x14ac:dyDescent="0.25">
      <c r="A35" s="230" t="s">
        <v>23</v>
      </c>
      <c r="B35" s="150" t="s">
        <v>379</v>
      </c>
      <c r="C35" s="379"/>
    </row>
    <row r="36" spans="1:3" s="409" customFormat="1" ht="12" customHeight="1" thickBot="1" x14ac:dyDescent="0.25">
      <c r="A36" s="230" t="s">
        <v>24</v>
      </c>
      <c r="B36" s="150" t="s">
        <v>411</v>
      </c>
      <c r="C36" s="400"/>
    </row>
    <row r="37" spans="1:3" s="409" customFormat="1" ht="12" customHeight="1" thickBot="1" x14ac:dyDescent="0.25">
      <c r="A37" s="223" t="s">
        <v>25</v>
      </c>
      <c r="B37" s="150" t="s">
        <v>412</v>
      </c>
      <c r="C37" s="401">
        <f>+C8+C20+C25+C26+C31+C35+C36</f>
        <v>0</v>
      </c>
    </row>
    <row r="38" spans="1:3" s="409" customFormat="1" ht="12" customHeight="1" thickBot="1" x14ac:dyDescent="0.25">
      <c r="A38" s="267" t="s">
        <v>26</v>
      </c>
      <c r="B38" s="150" t="s">
        <v>413</v>
      </c>
      <c r="C38" s="401">
        <f>+C39+C40+C41</f>
        <v>24793206</v>
      </c>
    </row>
    <row r="39" spans="1:3" s="409" customFormat="1" ht="12" customHeight="1" x14ac:dyDescent="0.2">
      <c r="A39" s="497" t="s">
        <v>414</v>
      </c>
      <c r="B39" s="498" t="s">
        <v>236</v>
      </c>
      <c r="C39" s="94"/>
    </row>
    <row r="40" spans="1:3" s="409" customFormat="1" ht="12" customHeight="1" x14ac:dyDescent="0.2">
      <c r="A40" s="497" t="s">
        <v>415</v>
      </c>
      <c r="B40" s="499" t="s">
        <v>2</v>
      </c>
      <c r="C40" s="353"/>
    </row>
    <row r="41" spans="1:3" s="504" customFormat="1" ht="12" customHeight="1" thickBot="1" x14ac:dyDescent="0.25">
      <c r="A41" s="496" t="s">
        <v>416</v>
      </c>
      <c r="B41" s="166" t="s">
        <v>417</v>
      </c>
      <c r="C41" s="101">
        <f>C58-C37</f>
        <v>24793206</v>
      </c>
    </row>
    <row r="42" spans="1:3" s="504" customFormat="1" ht="15" customHeight="1" thickBot="1" x14ac:dyDescent="0.25">
      <c r="A42" s="267" t="s">
        <v>27</v>
      </c>
      <c r="B42" s="268" t="s">
        <v>418</v>
      </c>
      <c r="C42" s="404">
        <f>+C37+C38</f>
        <v>24793206</v>
      </c>
    </row>
    <row r="43" spans="1:3" s="504" customFormat="1" ht="15" customHeight="1" x14ac:dyDescent="0.2">
      <c r="A43" s="269"/>
      <c r="B43" s="270"/>
      <c r="C43" s="402"/>
    </row>
    <row r="44" spans="1:3" ht="13.5" thickBot="1" x14ac:dyDescent="0.25">
      <c r="A44" s="271"/>
      <c r="B44" s="272"/>
      <c r="C44" s="403"/>
    </row>
    <row r="45" spans="1:3" s="503" customFormat="1" ht="16.5" customHeight="1" thickBot="1" x14ac:dyDescent="0.25">
      <c r="A45" s="273"/>
      <c r="B45" s="274" t="s">
        <v>58</v>
      </c>
      <c r="C45" s="404"/>
    </row>
    <row r="46" spans="1:3" s="505" customFormat="1" ht="12" customHeight="1" thickBot="1" x14ac:dyDescent="0.25">
      <c r="A46" s="230" t="s">
        <v>18</v>
      </c>
      <c r="B46" s="150" t="s">
        <v>419</v>
      </c>
      <c r="C46" s="352">
        <f>SUM(C47:C51)</f>
        <v>24793206</v>
      </c>
    </row>
    <row r="47" spans="1:3" ht="12" customHeight="1" x14ac:dyDescent="0.2">
      <c r="A47" s="496" t="s">
        <v>100</v>
      </c>
      <c r="B47" s="9" t="s">
        <v>49</v>
      </c>
      <c r="C47" s="94">
        <v>18681211</v>
      </c>
    </row>
    <row r="48" spans="1:3" ht="12" customHeight="1" x14ac:dyDescent="0.2">
      <c r="A48" s="496" t="s">
        <v>101</v>
      </c>
      <c r="B48" s="8" t="s">
        <v>181</v>
      </c>
      <c r="C48" s="97">
        <v>4671754</v>
      </c>
    </row>
    <row r="49" spans="1:3" ht="12" customHeight="1" x14ac:dyDescent="0.2">
      <c r="A49" s="496" t="s">
        <v>102</v>
      </c>
      <c r="B49" s="8" t="s">
        <v>142</v>
      </c>
      <c r="C49" s="97">
        <f>812500+627741</f>
        <v>1440241</v>
      </c>
    </row>
    <row r="50" spans="1:3" ht="12" customHeight="1" x14ac:dyDescent="0.2">
      <c r="A50" s="496" t="s">
        <v>103</v>
      </c>
      <c r="B50" s="8" t="s">
        <v>182</v>
      </c>
      <c r="C50" s="97"/>
    </row>
    <row r="51" spans="1:3" ht="12" customHeight="1" thickBot="1" x14ac:dyDescent="0.25">
      <c r="A51" s="496" t="s">
        <v>149</v>
      </c>
      <c r="B51" s="8" t="s">
        <v>183</v>
      </c>
      <c r="C51" s="97"/>
    </row>
    <row r="52" spans="1:3" ht="12" customHeight="1" thickBot="1" x14ac:dyDescent="0.25">
      <c r="A52" s="230" t="s">
        <v>19</v>
      </c>
      <c r="B52" s="150" t="s">
        <v>420</v>
      </c>
      <c r="C52" s="352">
        <f>SUM(C53:C55)</f>
        <v>0</v>
      </c>
    </row>
    <row r="53" spans="1:3" s="505" customFormat="1" ht="12" customHeight="1" x14ac:dyDescent="0.2">
      <c r="A53" s="496" t="s">
        <v>106</v>
      </c>
      <c r="B53" s="9" t="s">
        <v>226</v>
      </c>
      <c r="C53" s="94"/>
    </row>
    <row r="54" spans="1:3" ht="12" customHeight="1" x14ac:dyDescent="0.2">
      <c r="A54" s="496" t="s">
        <v>107</v>
      </c>
      <c r="B54" s="8" t="s">
        <v>185</v>
      </c>
      <c r="C54" s="97"/>
    </row>
    <row r="55" spans="1:3" ht="12" customHeight="1" x14ac:dyDescent="0.2">
      <c r="A55" s="496" t="s">
        <v>108</v>
      </c>
      <c r="B55" s="8" t="s">
        <v>59</v>
      </c>
      <c r="C55" s="97"/>
    </row>
    <row r="56" spans="1:3" ht="12" customHeight="1" thickBot="1" x14ac:dyDescent="0.25">
      <c r="A56" s="496" t="s">
        <v>109</v>
      </c>
      <c r="B56" s="8" t="s">
        <v>526</v>
      </c>
      <c r="C56" s="97"/>
    </row>
    <row r="57" spans="1:3" ht="15" customHeight="1" thickBot="1" x14ac:dyDescent="0.25">
      <c r="A57" s="230" t="s">
        <v>20</v>
      </c>
      <c r="B57" s="150" t="s">
        <v>12</v>
      </c>
      <c r="C57" s="379"/>
    </row>
    <row r="58" spans="1:3" ht="13.5" thickBot="1" x14ac:dyDescent="0.25">
      <c r="A58" s="230" t="s">
        <v>21</v>
      </c>
      <c r="B58" s="275" t="s">
        <v>533</v>
      </c>
      <c r="C58" s="405">
        <f>+C46+C52+C57</f>
        <v>24793206</v>
      </c>
    </row>
    <row r="59" spans="1:3" ht="15" customHeight="1" thickBot="1" x14ac:dyDescent="0.25">
      <c r="C59" s="406"/>
    </row>
    <row r="60" spans="1:3" ht="14.25" customHeight="1" thickBot="1" x14ac:dyDescent="0.25">
      <c r="A60" s="278" t="s">
        <v>521</v>
      </c>
      <c r="B60" s="279"/>
      <c r="C60" s="147">
        <v>5</v>
      </c>
    </row>
    <row r="61" spans="1:3" ht="13.5" thickBot="1" x14ac:dyDescent="0.25">
      <c r="A61" s="278" t="s">
        <v>204</v>
      </c>
      <c r="B61" s="279"/>
      <c r="C61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8" sqref="C8:C57"/>
    </sheetView>
  </sheetViews>
  <sheetFormatPr defaultRowHeight="12.75" x14ac:dyDescent="0.2"/>
  <cols>
    <col min="1" max="1" width="13.83203125" style="276" customWidth="1"/>
    <col min="2" max="2" width="79.1640625" style="277" customWidth="1"/>
    <col min="3" max="3" width="25" style="277" customWidth="1"/>
    <col min="4" max="16384" width="9.33203125" style="277"/>
  </cols>
  <sheetData>
    <row r="1" spans="1:3" s="256" customFormat="1" ht="21" customHeight="1" thickBot="1" x14ac:dyDescent="0.25">
      <c r="A1" s="255"/>
      <c r="B1" s="257"/>
      <c r="C1" s="500" t="str">
        <f>+CONCATENATE("9.3. melléklet a 6/",LEFT(ÖSSZEFÜGGÉSEK!A5,4),". (III. 13.) önkormányzati rendelethez")</f>
        <v>9.3. melléklet a 6/2017. (III. 13.) önkormányzati rendelethez</v>
      </c>
    </row>
    <row r="2" spans="1:3" s="501" customFormat="1" ht="25.5" customHeight="1" x14ac:dyDescent="0.2">
      <c r="A2" s="451" t="s">
        <v>202</v>
      </c>
      <c r="B2" s="393" t="s">
        <v>574</v>
      </c>
      <c r="C2" s="407" t="s">
        <v>61</v>
      </c>
    </row>
    <row r="3" spans="1:3" s="501" customFormat="1" ht="24.75" thickBot="1" x14ac:dyDescent="0.25">
      <c r="A3" s="494" t="s">
        <v>201</v>
      </c>
      <c r="B3" s="394" t="s">
        <v>402</v>
      </c>
      <c r="C3" s="408"/>
    </row>
    <row r="4" spans="1:3" s="502" customFormat="1" ht="15.95" customHeight="1" thickBot="1" x14ac:dyDescent="0.3">
      <c r="A4" s="259"/>
      <c r="B4" s="259"/>
      <c r="C4" s="260" t="s">
        <v>578</v>
      </c>
    </row>
    <row r="5" spans="1:3" ht="13.5" thickBot="1" x14ac:dyDescent="0.25">
      <c r="A5" s="452" t="s">
        <v>203</v>
      </c>
      <c r="B5" s="261" t="s">
        <v>567</v>
      </c>
      <c r="C5" s="262" t="s">
        <v>56</v>
      </c>
    </row>
    <row r="6" spans="1:3" s="503" customFormat="1" ht="12.95" customHeight="1" thickBot="1" x14ac:dyDescent="0.25">
      <c r="A6" s="223"/>
      <c r="B6" s="224" t="s">
        <v>496</v>
      </c>
      <c r="C6" s="225" t="s">
        <v>497</v>
      </c>
    </row>
    <row r="7" spans="1:3" s="503" customFormat="1" ht="15.95" customHeight="1" thickBot="1" x14ac:dyDescent="0.25">
      <c r="A7" s="263"/>
      <c r="B7" s="264" t="s">
        <v>57</v>
      </c>
      <c r="C7" s="265"/>
    </row>
    <row r="8" spans="1:3" s="409" customFormat="1" ht="12" customHeight="1" thickBot="1" x14ac:dyDescent="0.25">
      <c r="A8" s="223" t="s">
        <v>18</v>
      </c>
      <c r="B8" s="266" t="s">
        <v>522</v>
      </c>
      <c r="C8" s="352">
        <f>SUM(C9:C19)</f>
        <v>64956525</v>
      </c>
    </row>
    <row r="9" spans="1:3" s="409" customFormat="1" ht="12" customHeight="1" x14ac:dyDescent="0.2">
      <c r="A9" s="495" t="s">
        <v>100</v>
      </c>
      <c r="B9" s="10" t="s">
        <v>277</v>
      </c>
      <c r="C9" s="398">
        <f>'9.3.1. sz. mell GAM'!C9+'9.3.2. sz. mell GAM'!C9+'9.3.3. sz. mell GAM'!C9</f>
        <v>6299213</v>
      </c>
    </row>
    <row r="10" spans="1:3" s="409" customFormat="1" ht="12" customHeight="1" x14ac:dyDescent="0.2">
      <c r="A10" s="496" t="s">
        <v>101</v>
      </c>
      <c r="B10" s="8" t="s">
        <v>278</v>
      </c>
      <c r="C10" s="350">
        <f>'9.3.1. sz. mell GAM'!C10+'9.3.2. sz. mell GAM'!C10+'9.3.3. sz. mell GAM'!C10</f>
        <v>17401000</v>
      </c>
    </row>
    <row r="11" spans="1:3" s="409" customFormat="1" ht="12" customHeight="1" x14ac:dyDescent="0.2">
      <c r="A11" s="496" t="s">
        <v>102</v>
      </c>
      <c r="B11" s="8" t="s">
        <v>279</v>
      </c>
      <c r="C11" s="350">
        <f>'9.3.1. sz. mell GAM'!C11+'9.3.2. sz. mell GAM'!C11+'9.3.3. sz. mell GAM'!C11</f>
        <v>0</v>
      </c>
    </row>
    <row r="12" spans="1:3" s="409" customFormat="1" ht="12" customHeight="1" x14ac:dyDescent="0.2">
      <c r="A12" s="496" t="s">
        <v>103</v>
      </c>
      <c r="B12" s="8" t="s">
        <v>280</v>
      </c>
      <c r="C12" s="350">
        <f>'9.3.1. sz. mell GAM'!C12+'9.3.2. sz. mell GAM'!C12+'9.3.3. sz. mell GAM'!C12</f>
        <v>0</v>
      </c>
    </row>
    <row r="13" spans="1:3" s="409" customFormat="1" ht="12" customHeight="1" x14ac:dyDescent="0.2">
      <c r="A13" s="496" t="s">
        <v>149</v>
      </c>
      <c r="B13" s="8" t="s">
        <v>281</v>
      </c>
      <c r="C13" s="350">
        <f>'9.3.1. sz. mell GAM'!C13+'9.3.2. sz. mell GAM'!C13+'9.3.3. sz. mell GAM'!C13</f>
        <v>28000876</v>
      </c>
    </row>
    <row r="14" spans="1:3" s="409" customFormat="1" ht="12" customHeight="1" x14ac:dyDescent="0.2">
      <c r="A14" s="496" t="s">
        <v>104</v>
      </c>
      <c r="B14" s="8" t="s">
        <v>403</v>
      </c>
      <c r="C14" s="350">
        <f>'9.3.1. sz. mell GAM'!C14+'9.3.2. sz. mell GAM'!C14+'9.3.3. sz. mell GAM'!C14</f>
        <v>13255436</v>
      </c>
    </row>
    <row r="15" spans="1:3" s="409" customFormat="1" ht="12" customHeight="1" x14ac:dyDescent="0.2">
      <c r="A15" s="496" t="s">
        <v>105</v>
      </c>
      <c r="B15" s="7" t="s">
        <v>404</v>
      </c>
      <c r="C15" s="350">
        <f>'9.3.1. sz. mell GAM'!C15+'9.3.2. sz. mell GAM'!C15+'9.3.3. sz. mell GAM'!C15</f>
        <v>0</v>
      </c>
    </row>
    <row r="16" spans="1:3" s="409" customFormat="1" ht="12" customHeight="1" x14ac:dyDescent="0.2">
      <c r="A16" s="496" t="s">
        <v>115</v>
      </c>
      <c r="B16" s="8" t="s">
        <v>284</v>
      </c>
      <c r="C16" s="350">
        <f>'9.3.1. sz. mell GAM'!C16+'9.3.2. sz. mell GAM'!C16+'9.3.3. sz. mell GAM'!C16</f>
        <v>0</v>
      </c>
    </row>
    <row r="17" spans="1:3" s="504" customFormat="1" ht="12" customHeight="1" x14ac:dyDescent="0.2">
      <c r="A17" s="496" t="s">
        <v>116</v>
      </c>
      <c r="B17" s="8" t="s">
        <v>285</v>
      </c>
      <c r="C17" s="350">
        <f>'9.3.1. sz. mell GAM'!C17+'9.3.2. sz. mell GAM'!C17+'9.3.3. sz. mell GAM'!C17</f>
        <v>0</v>
      </c>
    </row>
    <row r="18" spans="1:3" s="504" customFormat="1" ht="12" customHeight="1" x14ac:dyDescent="0.2">
      <c r="A18" s="496" t="s">
        <v>117</v>
      </c>
      <c r="B18" s="8" t="s">
        <v>440</v>
      </c>
      <c r="C18" s="350">
        <f>'9.3.1. sz. mell GAM'!C18+'9.3.2. sz. mell GAM'!C18+'9.3.3. sz. mell GAM'!C18</f>
        <v>0</v>
      </c>
    </row>
    <row r="19" spans="1:3" s="504" customFormat="1" ht="12" customHeight="1" thickBot="1" x14ac:dyDescent="0.25">
      <c r="A19" s="496" t="s">
        <v>118</v>
      </c>
      <c r="B19" s="7" t="s">
        <v>286</v>
      </c>
      <c r="C19" s="349">
        <f>'9.3.1. sz. mell GAM'!C19+'9.3.2. sz. mell GAM'!C19+'9.3.3. sz. mell GAM'!C19</f>
        <v>0</v>
      </c>
    </row>
    <row r="20" spans="1:3" s="409" customFormat="1" ht="12" customHeight="1" thickBot="1" x14ac:dyDescent="0.25">
      <c r="A20" s="223" t="s">
        <v>19</v>
      </c>
      <c r="B20" s="266" t="s">
        <v>405</v>
      </c>
      <c r="C20" s="352">
        <f>SUM(C21:C23)</f>
        <v>0</v>
      </c>
    </row>
    <row r="21" spans="1:3" s="504" customFormat="1" ht="12" customHeight="1" x14ac:dyDescent="0.2">
      <c r="A21" s="496" t="s">
        <v>106</v>
      </c>
      <c r="B21" s="9" t="s">
        <v>258</v>
      </c>
      <c r="C21" s="350">
        <f>'9.3.1. sz. mell GAM'!C21+'9.3.2. sz. mell GAM'!C21+'9.3.3. sz. mell GAM'!C21</f>
        <v>0</v>
      </c>
    </row>
    <row r="22" spans="1:3" s="504" customFormat="1" ht="12" customHeight="1" x14ac:dyDescent="0.2">
      <c r="A22" s="496" t="s">
        <v>107</v>
      </c>
      <c r="B22" s="8" t="s">
        <v>406</v>
      </c>
      <c r="C22" s="350">
        <f>'9.3.1. sz. mell GAM'!C22+'9.3.2. sz. mell GAM'!C22+'9.3.3. sz. mell GAM'!C22</f>
        <v>0</v>
      </c>
    </row>
    <row r="23" spans="1:3" s="504" customFormat="1" ht="12" customHeight="1" x14ac:dyDescent="0.2">
      <c r="A23" s="496" t="s">
        <v>108</v>
      </c>
      <c r="B23" s="8" t="s">
        <v>407</v>
      </c>
      <c r="C23" s="350">
        <f>'9.3.1. sz. mell GAM'!C23+'9.3.2. sz. mell GAM'!C23+'9.3.3. sz. mell GAM'!C23</f>
        <v>0</v>
      </c>
    </row>
    <row r="24" spans="1:3" s="504" customFormat="1" ht="12" customHeight="1" thickBot="1" x14ac:dyDescent="0.25">
      <c r="A24" s="496" t="s">
        <v>109</v>
      </c>
      <c r="B24" s="8" t="s">
        <v>527</v>
      </c>
      <c r="C24" s="350">
        <f>'9.3.1. sz. mell GAM'!C24+'9.3.2. sz. mell GAM'!C24+'9.3.3. sz. mell GAM'!C24</f>
        <v>0</v>
      </c>
    </row>
    <row r="25" spans="1:3" s="504" customFormat="1" ht="12" customHeight="1" thickBot="1" x14ac:dyDescent="0.25">
      <c r="A25" s="230" t="s">
        <v>20</v>
      </c>
      <c r="B25" s="150" t="s">
        <v>172</v>
      </c>
      <c r="C25" s="379">
        <f>'9.3.1. sz. mell GAM'!C25+'9.3.2. sz. mell GAM'!C25+'9.3.3. sz. mell GAM'!C25</f>
        <v>0</v>
      </c>
    </row>
    <row r="26" spans="1:3" s="504" customFormat="1" ht="12" customHeight="1" thickBot="1" x14ac:dyDescent="0.25">
      <c r="A26" s="230" t="s">
        <v>21</v>
      </c>
      <c r="B26" s="150" t="s">
        <v>408</v>
      </c>
      <c r="C26" s="352">
        <f>+C27+C28</f>
        <v>0</v>
      </c>
    </row>
    <row r="27" spans="1:3" s="504" customFormat="1" ht="12" customHeight="1" x14ac:dyDescent="0.2">
      <c r="A27" s="497" t="s">
        <v>268</v>
      </c>
      <c r="B27" s="498" t="s">
        <v>406</v>
      </c>
      <c r="C27" s="94">
        <f>'9.3.1. sz. mell GAM'!C27+'9.3.2. sz. mell GAM'!C27+'9.3.3. sz. mell GAM'!C27</f>
        <v>0</v>
      </c>
    </row>
    <row r="28" spans="1:3" s="504" customFormat="1" ht="12" customHeight="1" x14ac:dyDescent="0.2">
      <c r="A28" s="497" t="s">
        <v>269</v>
      </c>
      <c r="B28" s="499" t="s">
        <v>409</v>
      </c>
      <c r="C28" s="94">
        <f>'9.3.1. sz. mell GAM'!C28+'9.3.2. sz. mell GAM'!C28+'9.3.3. sz. mell GAM'!C28</f>
        <v>0</v>
      </c>
    </row>
    <row r="29" spans="1:3" s="504" customFormat="1" ht="12" customHeight="1" thickBot="1" x14ac:dyDescent="0.25">
      <c r="A29" s="496" t="s">
        <v>270</v>
      </c>
      <c r="B29" s="166" t="s">
        <v>528</v>
      </c>
      <c r="C29" s="94">
        <f>'9.3.1. sz. mell GAM'!C29+'9.3.2. sz. mell GAM'!C29+'9.3.3. sz. mell GAM'!C29</f>
        <v>0</v>
      </c>
    </row>
    <row r="30" spans="1:3" s="504" customFormat="1" ht="12" customHeight="1" thickBot="1" x14ac:dyDescent="0.25">
      <c r="A30" s="230" t="s">
        <v>22</v>
      </c>
      <c r="B30" s="150" t="s">
        <v>410</v>
      </c>
      <c r="C30" s="352">
        <f>+C31+C32+C33</f>
        <v>118110</v>
      </c>
    </row>
    <row r="31" spans="1:3" s="504" customFormat="1" ht="12" customHeight="1" x14ac:dyDescent="0.2">
      <c r="A31" s="497" t="s">
        <v>93</v>
      </c>
      <c r="B31" s="498" t="s">
        <v>291</v>
      </c>
      <c r="C31" s="94">
        <f>'9.3.1. sz. mell GAM'!C31+'9.3.2. sz. mell GAM'!C31+'9.3.3. sz. mell GAM'!C31</f>
        <v>0</v>
      </c>
    </row>
    <row r="32" spans="1:3" s="504" customFormat="1" ht="12" customHeight="1" x14ac:dyDescent="0.2">
      <c r="A32" s="497" t="s">
        <v>94</v>
      </c>
      <c r="B32" s="499" t="s">
        <v>292</v>
      </c>
      <c r="C32" s="94">
        <f>'9.3.1. sz. mell GAM'!C32+'9.3.2. sz. mell GAM'!C32+'9.3.3. sz. mell GAM'!C32</f>
        <v>0</v>
      </c>
    </row>
    <row r="33" spans="1:3" s="504" customFormat="1" ht="12" customHeight="1" thickBot="1" x14ac:dyDescent="0.25">
      <c r="A33" s="496" t="s">
        <v>95</v>
      </c>
      <c r="B33" s="166" t="s">
        <v>293</v>
      </c>
      <c r="C33" s="94">
        <f>'9.3.1. sz. mell GAM'!C33+'9.3.2. sz. mell GAM'!C33+'9.3.3. sz. mell GAM'!C33</f>
        <v>118110</v>
      </c>
    </row>
    <row r="34" spans="1:3" s="409" customFormat="1" ht="12" customHeight="1" thickBot="1" x14ac:dyDescent="0.25">
      <c r="A34" s="230" t="s">
        <v>23</v>
      </c>
      <c r="B34" s="150" t="s">
        <v>379</v>
      </c>
      <c r="C34" s="379">
        <f>'9.3.1. sz. mell GAM'!C34+'9.3.2. sz. mell GAM'!C34+'9.3.3. sz. mell GAM'!C34</f>
        <v>0</v>
      </c>
    </row>
    <row r="35" spans="1:3" s="409" customFormat="1" ht="12" customHeight="1" thickBot="1" x14ac:dyDescent="0.25">
      <c r="A35" s="230" t="s">
        <v>24</v>
      </c>
      <c r="B35" s="150" t="s">
        <v>411</v>
      </c>
      <c r="C35" s="379">
        <f>'9.3.1. sz. mell GAM'!C35+'9.3.2. sz. mell GAM'!C35+'9.3.3. sz. mell GAM'!C35</f>
        <v>0</v>
      </c>
    </row>
    <row r="36" spans="1:3" s="409" customFormat="1" ht="12" customHeight="1" thickBot="1" x14ac:dyDescent="0.25">
      <c r="A36" s="223" t="s">
        <v>25</v>
      </c>
      <c r="B36" s="150" t="s">
        <v>529</v>
      </c>
      <c r="C36" s="401">
        <f>+C8+C20+C25+C26+C30+C34+C35</f>
        <v>65074635</v>
      </c>
    </row>
    <row r="37" spans="1:3" s="409" customFormat="1" ht="12" customHeight="1" thickBot="1" x14ac:dyDescent="0.25">
      <c r="A37" s="267" t="s">
        <v>26</v>
      </c>
      <c r="B37" s="150" t="s">
        <v>413</v>
      </c>
      <c r="C37" s="401">
        <f>+C38+C39+C40</f>
        <v>182844532</v>
      </c>
    </row>
    <row r="38" spans="1:3" s="409" customFormat="1" ht="12" customHeight="1" x14ac:dyDescent="0.2">
      <c r="A38" s="497" t="s">
        <v>414</v>
      </c>
      <c r="B38" s="498" t="s">
        <v>236</v>
      </c>
      <c r="C38" s="94">
        <f>'9.3.1. sz. mell GAM'!C38+'9.3.2. sz. mell GAM'!C38+'9.3.3. sz. mell GAM'!C38</f>
        <v>0</v>
      </c>
    </row>
    <row r="39" spans="1:3" s="409" customFormat="1" ht="12" customHeight="1" x14ac:dyDescent="0.2">
      <c r="A39" s="497" t="s">
        <v>415</v>
      </c>
      <c r="B39" s="499" t="s">
        <v>2</v>
      </c>
      <c r="C39" s="94">
        <f>'9.3.1. sz. mell GAM'!C39+'9.3.2. sz. mell GAM'!C39+'9.3.3. sz. mell GAM'!C39</f>
        <v>0</v>
      </c>
    </row>
    <row r="40" spans="1:3" s="504" customFormat="1" ht="12" customHeight="1" thickBot="1" x14ac:dyDescent="0.25">
      <c r="A40" s="496" t="s">
        <v>416</v>
      </c>
      <c r="B40" s="166" t="s">
        <v>417</v>
      </c>
      <c r="C40" s="101">
        <f>'9.3.1. sz. mell GAM'!C40+'9.3.2. sz. mell GAM'!C40+'9.3.3. sz. mell GAM'!C40</f>
        <v>182844532</v>
      </c>
    </row>
    <row r="41" spans="1:3" s="504" customFormat="1" ht="15" customHeight="1" thickBot="1" x14ac:dyDescent="0.25">
      <c r="A41" s="267" t="s">
        <v>27</v>
      </c>
      <c r="B41" s="268" t="s">
        <v>418</v>
      </c>
      <c r="C41" s="404">
        <f>+C36+C37</f>
        <v>247919167</v>
      </c>
    </row>
    <row r="42" spans="1:3" s="504" customFormat="1" ht="15" customHeight="1" x14ac:dyDescent="0.2">
      <c r="A42" s="269"/>
      <c r="B42" s="270"/>
      <c r="C42" s="402"/>
    </row>
    <row r="43" spans="1:3" ht="13.5" thickBot="1" x14ac:dyDescent="0.25">
      <c r="A43" s="271"/>
      <c r="B43" s="272"/>
      <c r="C43" s="403"/>
    </row>
    <row r="44" spans="1:3" s="503" customFormat="1" ht="16.5" customHeight="1" thickBot="1" x14ac:dyDescent="0.25">
      <c r="A44" s="273"/>
      <c r="B44" s="274" t="s">
        <v>58</v>
      </c>
      <c r="C44" s="404"/>
    </row>
    <row r="45" spans="1:3" s="505" customFormat="1" ht="12" customHeight="1" thickBot="1" x14ac:dyDescent="0.25">
      <c r="A45" s="230" t="s">
        <v>18</v>
      </c>
      <c r="B45" s="150" t="s">
        <v>419</v>
      </c>
      <c r="C45" s="352">
        <f>SUM(C46:C50)</f>
        <v>244488981</v>
      </c>
    </row>
    <row r="46" spans="1:3" ht="12" customHeight="1" x14ac:dyDescent="0.2">
      <c r="A46" s="496" t="s">
        <v>100</v>
      </c>
      <c r="B46" s="9" t="s">
        <v>49</v>
      </c>
      <c r="C46" s="94">
        <f>'9.3.1. sz. mell GAM'!C46+'9.3.2. sz. mell GAM'!C46+'9.3.3. sz. mell GAM'!C46</f>
        <v>89590885</v>
      </c>
    </row>
    <row r="47" spans="1:3" ht="12" customHeight="1" x14ac:dyDescent="0.2">
      <c r="A47" s="496" t="s">
        <v>101</v>
      </c>
      <c r="B47" s="8" t="s">
        <v>181</v>
      </c>
      <c r="C47" s="94">
        <f>'9.3.1. sz. mell GAM'!C47+'9.3.2. sz. mell GAM'!C47+'9.3.3. sz. mell GAM'!C47</f>
        <v>20476034</v>
      </c>
    </row>
    <row r="48" spans="1:3" ht="12" customHeight="1" x14ac:dyDescent="0.2">
      <c r="A48" s="496" t="s">
        <v>102</v>
      </c>
      <c r="B48" s="8" t="s">
        <v>142</v>
      </c>
      <c r="C48" s="94">
        <f>'9.3.1. sz. mell GAM'!C48+'9.3.2. sz. mell GAM'!C48+'9.3.3. sz. mell GAM'!C48</f>
        <v>134363765</v>
      </c>
    </row>
    <row r="49" spans="1:3" ht="12" customHeight="1" x14ac:dyDescent="0.2">
      <c r="A49" s="496" t="s">
        <v>103</v>
      </c>
      <c r="B49" s="8" t="s">
        <v>182</v>
      </c>
      <c r="C49" s="94">
        <f>'9.3.1. sz. mell GAM'!C49+'9.3.2. sz. mell GAM'!C49+'9.3.3. sz. mell GAM'!C49</f>
        <v>0</v>
      </c>
    </row>
    <row r="50" spans="1:3" ht="12" customHeight="1" thickBot="1" x14ac:dyDescent="0.25">
      <c r="A50" s="496" t="s">
        <v>149</v>
      </c>
      <c r="B50" s="8" t="s">
        <v>183</v>
      </c>
      <c r="C50" s="94">
        <f>'9.3.1. sz. mell GAM'!C50+'9.3.2. sz. mell GAM'!C50+'9.3.3. sz. mell GAM'!C50</f>
        <v>58297</v>
      </c>
    </row>
    <row r="51" spans="1:3" ht="12" customHeight="1" thickBot="1" x14ac:dyDescent="0.25">
      <c r="A51" s="230" t="s">
        <v>19</v>
      </c>
      <c r="B51" s="150" t="s">
        <v>420</v>
      </c>
      <c r="C51" s="352">
        <f>SUM(C52:C54)</f>
        <v>3430186</v>
      </c>
    </row>
    <row r="52" spans="1:3" s="505" customFormat="1" ht="12" customHeight="1" x14ac:dyDescent="0.2">
      <c r="A52" s="496" t="s">
        <v>106</v>
      </c>
      <c r="B52" s="9" t="s">
        <v>226</v>
      </c>
      <c r="C52" s="94">
        <f>'9.3.1. sz. mell GAM'!C52+'9.3.2. sz. mell GAM'!C52+'9.3.3. sz. mell GAM'!C52</f>
        <v>2385499</v>
      </c>
    </row>
    <row r="53" spans="1:3" ht="12" customHeight="1" x14ac:dyDescent="0.2">
      <c r="A53" s="496" t="s">
        <v>107</v>
      </c>
      <c r="B53" s="8" t="s">
        <v>185</v>
      </c>
      <c r="C53" s="94">
        <f>'9.3.1. sz. mell GAM'!C53+'9.3.2. sz. mell GAM'!C53+'9.3.3. sz. mell GAM'!C53</f>
        <v>1044687</v>
      </c>
    </row>
    <row r="54" spans="1:3" ht="12" customHeight="1" x14ac:dyDescent="0.2">
      <c r="A54" s="496" t="s">
        <v>108</v>
      </c>
      <c r="B54" s="8" t="s">
        <v>59</v>
      </c>
      <c r="C54" s="94">
        <f>'9.3.1. sz. mell GAM'!C54+'9.3.2. sz. mell GAM'!C54+'9.3.3. sz. mell GAM'!C54</f>
        <v>0</v>
      </c>
    </row>
    <row r="55" spans="1:3" ht="12" customHeight="1" thickBot="1" x14ac:dyDescent="0.25">
      <c r="A55" s="496" t="s">
        <v>109</v>
      </c>
      <c r="B55" s="8" t="s">
        <v>526</v>
      </c>
      <c r="C55" s="94">
        <f>'9.3.1. sz. mell GAM'!C55+'9.3.2. sz. mell GAM'!C55+'9.3.3. sz. mell GAM'!C55</f>
        <v>0</v>
      </c>
    </row>
    <row r="56" spans="1:3" ht="15" customHeight="1" thickBot="1" x14ac:dyDescent="0.25">
      <c r="A56" s="230" t="s">
        <v>20</v>
      </c>
      <c r="B56" s="150" t="s">
        <v>12</v>
      </c>
      <c r="C56" s="379">
        <f>'9.3.1. sz. mell GAM'!C56+'9.3.2. sz. mell GAM'!C56+'9.3.3. sz. mell GAM'!C56</f>
        <v>0</v>
      </c>
    </row>
    <row r="57" spans="1:3" ht="13.5" thickBot="1" x14ac:dyDescent="0.25">
      <c r="A57" s="230" t="s">
        <v>21</v>
      </c>
      <c r="B57" s="275" t="s">
        <v>533</v>
      </c>
      <c r="C57" s="405">
        <f>+C45+C51+C56</f>
        <v>247919167</v>
      </c>
    </row>
    <row r="58" spans="1:3" ht="15" customHeight="1" thickBot="1" x14ac:dyDescent="0.25">
      <c r="C58" s="406"/>
    </row>
    <row r="59" spans="1:3" ht="14.25" customHeight="1" thickBot="1" x14ac:dyDescent="0.25">
      <c r="A59" s="278" t="s">
        <v>521</v>
      </c>
      <c r="B59" s="279"/>
      <c r="C59" s="147">
        <f>'9.3.1. sz. mell GAM'!C59+'9.3.2. sz. mell GAM'!C59+'9.3.3. sz. mell GAM'!C59</f>
        <v>49</v>
      </c>
    </row>
    <row r="60" spans="1:3" ht="13.5" thickBot="1" x14ac:dyDescent="0.25">
      <c r="A60" s="278" t="s">
        <v>204</v>
      </c>
      <c r="B60" s="279"/>
      <c r="C60" s="147">
        <f>'9.3.1. sz. mell GAM'!C60+'9.3.2. sz. mell GAM'!C60+'9.3.3. sz. mell GAM'!C60</f>
        <v>0</v>
      </c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abSelected="1" zoomScaleNormal="100" workbookViewId="0">
      <selection activeCell="C8" sqref="C8:C57"/>
    </sheetView>
  </sheetViews>
  <sheetFormatPr defaultRowHeight="12.75" x14ac:dyDescent="0.2"/>
  <cols>
    <col min="1" max="1" width="13.83203125" style="276" customWidth="1"/>
    <col min="2" max="2" width="79.1640625" style="277" customWidth="1"/>
    <col min="3" max="3" width="25" style="277" customWidth="1"/>
    <col min="4" max="16384" width="9.33203125" style="277"/>
  </cols>
  <sheetData>
    <row r="1" spans="1:3" s="256" customFormat="1" ht="21" customHeight="1" thickBot="1" x14ac:dyDescent="0.25">
      <c r="A1" s="255"/>
      <c r="B1" s="257"/>
      <c r="C1" s="500" t="str">
        <f>+CONCATENATE("9.3.1. melléklet a 6/",LEFT(ÖSSZEFÜGGÉSEK!A5,4),". (III. 13.) önkormányzati rendelethez")</f>
        <v>9.3.1. melléklet a 6/2017. (III. 13.) önkormányzati rendelethez</v>
      </c>
    </row>
    <row r="2" spans="1:3" s="501" customFormat="1" ht="25.5" customHeight="1" x14ac:dyDescent="0.2">
      <c r="A2" s="451" t="s">
        <v>202</v>
      </c>
      <c r="B2" s="393" t="s">
        <v>574</v>
      </c>
      <c r="C2" s="407" t="s">
        <v>61</v>
      </c>
    </row>
    <row r="3" spans="1:3" s="501" customFormat="1" ht="24.75" thickBot="1" x14ac:dyDescent="0.25">
      <c r="A3" s="494" t="s">
        <v>201</v>
      </c>
      <c r="B3" s="394" t="s">
        <v>421</v>
      </c>
      <c r="C3" s="408" t="s">
        <v>54</v>
      </c>
    </row>
    <row r="4" spans="1:3" s="502" customFormat="1" ht="15.95" customHeight="1" thickBot="1" x14ac:dyDescent="0.3">
      <c r="A4" s="259"/>
      <c r="B4" s="259"/>
      <c r="C4" s="260" t="s">
        <v>578</v>
      </c>
    </row>
    <row r="5" spans="1:3" ht="13.5" thickBot="1" x14ac:dyDescent="0.25">
      <c r="A5" s="452" t="s">
        <v>203</v>
      </c>
      <c r="B5" s="261" t="s">
        <v>567</v>
      </c>
      <c r="C5" s="262" t="s">
        <v>56</v>
      </c>
    </row>
    <row r="6" spans="1:3" s="503" customFormat="1" ht="12.95" customHeight="1" thickBot="1" x14ac:dyDescent="0.25">
      <c r="A6" s="223"/>
      <c r="B6" s="224" t="s">
        <v>496</v>
      </c>
      <c r="C6" s="225" t="s">
        <v>497</v>
      </c>
    </row>
    <row r="7" spans="1:3" s="503" customFormat="1" ht="15.95" customHeight="1" thickBot="1" x14ac:dyDescent="0.25">
      <c r="A7" s="263"/>
      <c r="B7" s="264" t="s">
        <v>57</v>
      </c>
      <c r="C7" s="265"/>
    </row>
    <row r="8" spans="1:3" s="409" customFormat="1" ht="12" customHeight="1" thickBot="1" x14ac:dyDescent="0.25">
      <c r="A8" s="223" t="s">
        <v>18</v>
      </c>
      <c r="B8" s="266" t="s">
        <v>522</v>
      </c>
      <c r="C8" s="352">
        <f>SUM(C9:C19)</f>
        <v>55686526</v>
      </c>
    </row>
    <row r="9" spans="1:3" s="409" customFormat="1" ht="12" customHeight="1" x14ac:dyDescent="0.2">
      <c r="A9" s="495" t="s">
        <v>100</v>
      </c>
      <c r="B9" s="10" t="s">
        <v>277</v>
      </c>
      <c r="C9" s="398"/>
    </row>
    <row r="10" spans="1:3" s="409" customFormat="1" ht="12" customHeight="1" x14ac:dyDescent="0.2">
      <c r="A10" s="496" t="s">
        <v>101</v>
      </c>
      <c r="B10" s="8" t="s">
        <v>278</v>
      </c>
      <c r="C10" s="350">
        <v>17401000</v>
      </c>
    </row>
    <row r="11" spans="1:3" s="409" customFormat="1" ht="12" customHeight="1" x14ac:dyDescent="0.2">
      <c r="A11" s="496" t="s">
        <v>102</v>
      </c>
      <c r="B11" s="8" t="s">
        <v>279</v>
      </c>
      <c r="C11" s="350"/>
    </row>
    <row r="12" spans="1:3" s="409" customFormat="1" ht="12" customHeight="1" x14ac:dyDescent="0.2">
      <c r="A12" s="496" t="s">
        <v>103</v>
      </c>
      <c r="B12" s="8" t="s">
        <v>280</v>
      </c>
      <c r="C12" s="350"/>
    </row>
    <row r="13" spans="1:3" s="409" customFormat="1" ht="12" customHeight="1" x14ac:dyDescent="0.2">
      <c r="A13" s="496" t="s">
        <v>149</v>
      </c>
      <c r="B13" s="8" t="s">
        <v>281</v>
      </c>
      <c r="C13" s="350">
        <f>4841543+22159333</f>
        <v>27000876</v>
      </c>
    </row>
    <row r="14" spans="1:3" s="409" customFormat="1" ht="12" customHeight="1" x14ac:dyDescent="0.2">
      <c r="A14" s="496" t="s">
        <v>104</v>
      </c>
      <c r="B14" s="8" t="s">
        <v>403</v>
      </c>
      <c r="C14" s="350">
        <f>5269738+31890+5983022</f>
        <v>11284650</v>
      </c>
    </row>
    <row r="15" spans="1:3" s="409" customFormat="1" ht="12" customHeight="1" x14ac:dyDescent="0.2">
      <c r="A15" s="496" t="s">
        <v>105</v>
      </c>
      <c r="B15" s="7" t="s">
        <v>404</v>
      </c>
      <c r="C15" s="350"/>
    </row>
    <row r="16" spans="1:3" s="409" customFormat="1" ht="12" customHeight="1" x14ac:dyDescent="0.2">
      <c r="A16" s="496" t="s">
        <v>115</v>
      </c>
      <c r="B16" s="8" t="s">
        <v>284</v>
      </c>
      <c r="C16" s="399"/>
    </row>
    <row r="17" spans="1:3" s="504" customFormat="1" ht="12" customHeight="1" x14ac:dyDescent="0.2">
      <c r="A17" s="496" t="s">
        <v>116</v>
      </c>
      <c r="B17" s="8" t="s">
        <v>285</v>
      </c>
      <c r="C17" s="350"/>
    </row>
    <row r="18" spans="1:3" s="504" customFormat="1" ht="12" customHeight="1" x14ac:dyDescent="0.2">
      <c r="A18" s="496" t="s">
        <v>117</v>
      </c>
      <c r="B18" s="8" t="s">
        <v>440</v>
      </c>
      <c r="C18" s="351"/>
    </row>
    <row r="19" spans="1:3" s="504" customFormat="1" ht="12" customHeight="1" thickBot="1" x14ac:dyDescent="0.25">
      <c r="A19" s="496" t="s">
        <v>118</v>
      </c>
      <c r="B19" s="7" t="s">
        <v>286</v>
      </c>
      <c r="C19" s="351"/>
    </row>
    <row r="20" spans="1:3" s="409" customFormat="1" ht="12" customHeight="1" thickBot="1" x14ac:dyDescent="0.25">
      <c r="A20" s="223" t="s">
        <v>19</v>
      </c>
      <c r="B20" s="266" t="s">
        <v>405</v>
      </c>
      <c r="C20" s="352">
        <f>SUM(C21:C23)</f>
        <v>0</v>
      </c>
    </row>
    <row r="21" spans="1:3" s="504" customFormat="1" ht="12" customHeight="1" x14ac:dyDescent="0.2">
      <c r="A21" s="496" t="s">
        <v>106</v>
      </c>
      <c r="B21" s="9" t="s">
        <v>258</v>
      </c>
      <c r="C21" s="350"/>
    </row>
    <row r="22" spans="1:3" s="504" customFormat="1" ht="12" customHeight="1" x14ac:dyDescent="0.2">
      <c r="A22" s="496" t="s">
        <v>107</v>
      </c>
      <c r="B22" s="8" t="s">
        <v>406</v>
      </c>
      <c r="C22" s="350"/>
    </row>
    <row r="23" spans="1:3" s="504" customFormat="1" ht="12" customHeight="1" x14ac:dyDescent="0.2">
      <c r="A23" s="496" t="s">
        <v>108</v>
      </c>
      <c r="B23" s="8" t="s">
        <v>407</v>
      </c>
      <c r="C23" s="350"/>
    </row>
    <row r="24" spans="1:3" s="504" customFormat="1" ht="12" customHeight="1" thickBot="1" x14ac:dyDescent="0.25">
      <c r="A24" s="496" t="s">
        <v>109</v>
      </c>
      <c r="B24" s="8" t="s">
        <v>527</v>
      </c>
      <c r="C24" s="350"/>
    </row>
    <row r="25" spans="1:3" s="504" customFormat="1" ht="12" customHeight="1" thickBot="1" x14ac:dyDescent="0.25">
      <c r="A25" s="230" t="s">
        <v>20</v>
      </c>
      <c r="B25" s="150" t="s">
        <v>172</v>
      </c>
      <c r="C25" s="379"/>
    </row>
    <row r="26" spans="1:3" s="504" customFormat="1" ht="12" customHeight="1" thickBot="1" x14ac:dyDescent="0.25">
      <c r="A26" s="230" t="s">
        <v>21</v>
      </c>
      <c r="B26" s="150" t="s">
        <v>408</v>
      </c>
      <c r="C26" s="352">
        <f>+C27+C28</f>
        <v>0</v>
      </c>
    </row>
    <row r="27" spans="1:3" s="504" customFormat="1" ht="12" customHeight="1" x14ac:dyDescent="0.2">
      <c r="A27" s="497" t="s">
        <v>268</v>
      </c>
      <c r="B27" s="498" t="s">
        <v>406</v>
      </c>
      <c r="C27" s="94"/>
    </row>
    <row r="28" spans="1:3" s="504" customFormat="1" ht="12" customHeight="1" x14ac:dyDescent="0.2">
      <c r="A28" s="497" t="s">
        <v>269</v>
      </c>
      <c r="B28" s="499" t="s">
        <v>409</v>
      </c>
      <c r="C28" s="353"/>
    </row>
    <row r="29" spans="1:3" s="504" customFormat="1" ht="12" customHeight="1" thickBot="1" x14ac:dyDescent="0.25">
      <c r="A29" s="496" t="s">
        <v>270</v>
      </c>
      <c r="B29" s="166" t="s">
        <v>528</v>
      </c>
      <c r="C29" s="101"/>
    </row>
    <row r="30" spans="1:3" s="504" customFormat="1" ht="12" customHeight="1" thickBot="1" x14ac:dyDescent="0.25">
      <c r="A30" s="230" t="s">
        <v>22</v>
      </c>
      <c r="B30" s="150" t="s">
        <v>410</v>
      </c>
      <c r="C30" s="352">
        <f>+C31+C32+C33</f>
        <v>118110</v>
      </c>
    </row>
    <row r="31" spans="1:3" s="504" customFormat="1" ht="12" customHeight="1" x14ac:dyDescent="0.2">
      <c r="A31" s="497" t="s">
        <v>93</v>
      </c>
      <c r="B31" s="498" t="s">
        <v>291</v>
      </c>
      <c r="C31" s="94"/>
    </row>
    <row r="32" spans="1:3" s="504" customFormat="1" ht="12" customHeight="1" x14ac:dyDescent="0.2">
      <c r="A32" s="497" t="s">
        <v>94</v>
      </c>
      <c r="B32" s="499" t="s">
        <v>292</v>
      </c>
      <c r="C32" s="353"/>
    </row>
    <row r="33" spans="1:3" s="504" customFormat="1" ht="12" customHeight="1" thickBot="1" x14ac:dyDescent="0.25">
      <c r="A33" s="496" t="s">
        <v>95</v>
      </c>
      <c r="B33" s="166" t="s">
        <v>293</v>
      </c>
      <c r="C33" s="101">
        <v>118110</v>
      </c>
    </row>
    <row r="34" spans="1:3" s="409" customFormat="1" ht="12" customHeight="1" thickBot="1" x14ac:dyDescent="0.25">
      <c r="A34" s="230" t="s">
        <v>23</v>
      </c>
      <c r="B34" s="150" t="s">
        <v>379</v>
      </c>
      <c r="C34" s="379"/>
    </row>
    <row r="35" spans="1:3" s="409" customFormat="1" ht="12" customHeight="1" thickBot="1" x14ac:dyDescent="0.25">
      <c r="A35" s="230" t="s">
        <v>24</v>
      </c>
      <c r="B35" s="150" t="s">
        <v>411</v>
      </c>
      <c r="C35" s="400"/>
    </row>
    <row r="36" spans="1:3" s="409" customFormat="1" ht="12" customHeight="1" thickBot="1" x14ac:dyDescent="0.25">
      <c r="A36" s="223" t="s">
        <v>25</v>
      </c>
      <c r="B36" s="150" t="s">
        <v>529</v>
      </c>
      <c r="C36" s="401">
        <f>+C8+C20+C25+C26+C30+C34+C35</f>
        <v>55804636</v>
      </c>
    </row>
    <row r="37" spans="1:3" s="409" customFormat="1" ht="12" customHeight="1" thickBot="1" x14ac:dyDescent="0.25">
      <c r="A37" s="267" t="s">
        <v>26</v>
      </c>
      <c r="B37" s="150" t="s">
        <v>413</v>
      </c>
      <c r="C37" s="401">
        <f>+C38+C39+C40</f>
        <v>149752686</v>
      </c>
    </row>
    <row r="38" spans="1:3" s="409" customFormat="1" ht="12" customHeight="1" x14ac:dyDescent="0.2">
      <c r="A38" s="497" t="s">
        <v>414</v>
      </c>
      <c r="B38" s="498" t="s">
        <v>236</v>
      </c>
      <c r="C38" s="94"/>
    </row>
    <row r="39" spans="1:3" s="409" customFormat="1" ht="12" customHeight="1" x14ac:dyDescent="0.2">
      <c r="A39" s="497" t="s">
        <v>415</v>
      </c>
      <c r="B39" s="499" t="s">
        <v>2</v>
      </c>
      <c r="C39" s="353"/>
    </row>
    <row r="40" spans="1:3" s="504" customFormat="1" ht="12" customHeight="1" thickBot="1" x14ac:dyDescent="0.25">
      <c r="A40" s="496" t="s">
        <v>416</v>
      </c>
      <c r="B40" s="166" t="s">
        <v>417</v>
      </c>
      <c r="C40" s="101">
        <f>C57-C36</f>
        <v>149752686</v>
      </c>
    </row>
    <row r="41" spans="1:3" s="504" customFormat="1" ht="15" customHeight="1" thickBot="1" x14ac:dyDescent="0.25">
      <c r="A41" s="267" t="s">
        <v>27</v>
      </c>
      <c r="B41" s="268" t="s">
        <v>418</v>
      </c>
      <c r="C41" s="404">
        <f>+C36+C37</f>
        <v>205557322</v>
      </c>
    </row>
    <row r="42" spans="1:3" s="504" customFormat="1" ht="15" customHeight="1" x14ac:dyDescent="0.2">
      <c r="A42" s="269"/>
      <c r="B42" s="270"/>
      <c r="C42" s="402"/>
    </row>
    <row r="43" spans="1:3" ht="13.5" thickBot="1" x14ac:dyDescent="0.25">
      <c r="A43" s="271"/>
      <c r="B43" s="272"/>
      <c r="C43" s="403"/>
    </row>
    <row r="44" spans="1:3" s="503" customFormat="1" ht="16.5" customHeight="1" thickBot="1" x14ac:dyDescent="0.25">
      <c r="A44" s="273"/>
      <c r="B44" s="274" t="s">
        <v>58</v>
      </c>
      <c r="C44" s="404"/>
    </row>
    <row r="45" spans="1:3" s="505" customFormat="1" ht="12" customHeight="1" thickBot="1" x14ac:dyDescent="0.25">
      <c r="A45" s="230" t="s">
        <v>18</v>
      </c>
      <c r="B45" s="150" t="s">
        <v>419</v>
      </c>
      <c r="C45" s="352">
        <f>SUM(C46:C50)</f>
        <v>202127136</v>
      </c>
    </row>
    <row r="46" spans="1:3" ht="12" customHeight="1" x14ac:dyDescent="0.2">
      <c r="A46" s="496" t="s">
        <v>100</v>
      </c>
      <c r="B46" s="9" t="s">
        <v>49</v>
      </c>
      <c r="C46" s="94">
        <v>74676335</v>
      </c>
    </row>
    <row r="47" spans="1:3" ht="12" customHeight="1" x14ac:dyDescent="0.2">
      <c r="A47" s="496" t="s">
        <v>101</v>
      </c>
      <c r="B47" s="8" t="s">
        <v>181</v>
      </c>
      <c r="C47" s="97">
        <v>17045513</v>
      </c>
    </row>
    <row r="48" spans="1:3" ht="12" customHeight="1" x14ac:dyDescent="0.2">
      <c r="A48" s="496" t="s">
        <v>102</v>
      </c>
      <c r="B48" s="8" t="s">
        <v>142</v>
      </c>
      <c r="C48" s="97">
        <f>108958663+3401312-610000-58297-800000-300000-244687</f>
        <v>110346991</v>
      </c>
    </row>
    <row r="49" spans="1:3" ht="12" customHeight="1" x14ac:dyDescent="0.2">
      <c r="A49" s="496" t="s">
        <v>103</v>
      </c>
      <c r="B49" s="8" t="s">
        <v>182</v>
      </c>
      <c r="C49" s="97"/>
    </row>
    <row r="50" spans="1:3" ht="12" customHeight="1" thickBot="1" x14ac:dyDescent="0.25">
      <c r="A50" s="496" t="s">
        <v>149</v>
      </c>
      <c r="B50" s="8" t="s">
        <v>183</v>
      </c>
      <c r="C50" s="97">
        <v>58297</v>
      </c>
    </row>
    <row r="51" spans="1:3" ht="12" customHeight="1" thickBot="1" x14ac:dyDescent="0.25">
      <c r="A51" s="230" t="s">
        <v>19</v>
      </c>
      <c r="B51" s="150" t="s">
        <v>420</v>
      </c>
      <c r="C51" s="352">
        <f>SUM(C52:C54)</f>
        <v>3430186</v>
      </c>
    </row>
    <row r="52" spans="1:3" s="505" customFormat="1" ht="12" customHeight="1" x14ac:dyDescent="0.2">
      <c r="A52" s="496" t="s">
        <v>106</v>
      </c>
      <c r="B52" s="9" t="s">
        <v>226</v>
      </c>
      <c r="C52" s="94">
        <f>1325499+610000+150000+300000</f>
        <v>2385499</v>
      </c>
    </row>
    <row r="53" spans="1:3" ht="12" customHeight="1" x14ac:dyDescent="0.2">
      <c r="A53" s="496" t="s">
        <v>107</v>
      </c>
      <c r="B53" s="8" t="s">
        <v>185</v>
      </c>
      <c r="C53" s="97">
        <f>800000+244687</f>
        <v>1044687</v>
      </c>
    </row>
    <row r="54" spans="1:3" ht="12" customHeight="1" x14ac:dyDescent="0.2">
      <c r="A54" s="496" t="s">
        <v>108</v>
      </c>
      <c r="B54" s="8" t="s">
        <v>59</v>
      </c>
      <c r="C54" s="97"/>
    </row>
    <row r="55" spans="1:3" ht="12" customHeight="1" thickBot="1" x14ac:dyDescent="0.25">
      <c r="A55" s="496" t="s">
        <v>109</v>
      </c>
      <c r="B55" s="8" t="s">
        <v>526</v>
      </c>
      <c r="C55" s="97"/>
    </row>
    <row r="56" spans="1:3" ht="15" customHeight="1" thickBot="1" x14ac:dyDescent="0.25">
      <c r="A56" s="230" t="s">
        <v>20</v>
      </c>
      <c r="B56" s="150" t="s">
        <v>12</v>
      </c>
      <c r="C56" s="379"/>
    </row>
    <row r="57" spans="1:3" ht="13.5" thickBot="1" x14ac:dyDescent="0.25">
      <c r="A57" s="230" t="s">
        <v>21</v>
      </c>
      <c r="B57" s="275" t="s">
        <v>533</v>
      </c>
      <c r="C57" s="405">
        <f>+C45+C51+C56</f>
        <v>205557322</v>
      </c>
    </row>
    <row r="58" spans="1:3" ht="15" customHeight="1" thickBot="1" x14ac:dyDescent="0.25">
      <c r="C58" s="406"/>
    </row>
    <row r="59" spans="1:3" ht="14.25" customHeight="1" thickBot="1" x14ac:dyDescent="0.25">
      <c r="A59" s="278" t="s">
        <v>521</v>
      </c>
      <c r="B59" s="279"/>
      <c r="C59" s="147">
        <v>41</v>
      </c>
    </row>
    <row r="60" spans="1:3" ht="13.5" thickBot="1" x14ac:dyDescent="0.25">
      <c r="A60" s="278" t="s">
        <v>204</v>
      </c>
      <c r="B60" s="279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8" sqref="C8:C57"/>
    </sheetView>
  </sheetViews>
  <sheetFormatPr defaultRowHeight="12.75" x14ac:dyDescent="0.2"/>
  <cols>
    <col min="1" max="1" width="13.83203125" style="276" customWidth="1"/>
    <col min="2" max="2" width="79.1640625" style="277" customWidth="1"/>
    <col min="3" max="3" width="25" style="277" customWidth="1"/>
    <col min="4" max="16384" width="9.33203125" style="277"/>
  </cols>
  <sheetData>
    <row r="1" spans="1:3" s="256" customFormat="1" ht="21" customHeight="1" thickBot="1" x14ac:dyDescent="0.25">
      <c r="A1" s="255"/>
      <c r="B1" s="257"/>
      <c r="C1" s="500" t="str">
        <f>+CONCATENATE("9.3.2. melléklet a 6/",LEFT(ÖSSZEFÜGGÉSEK!A5,4),". (III. 13.) önkormányzati rendelethez")</f>
        <v>9.3.2. melléklet a 6/2017. (III. 13.) önkormányzati rendelethez</v>
      </c>
    </row>
    <row r="2" spans="1:3" s="501" customFormat="1" ht="25.5" customHeight="1" x14ac:dyDescent="0.2">
      <c r="A2" s="451" t="s">
        <v>202</v>
      </c>
      <c r="B2" s="393" t="s">
        <v>574</v>
      </c>
      <c r="C2" s="407" t="s">
        <v>61</v>
      </c>
    </row>
    <row r="3" spans="1:3" s="501" customFormat="1" ht="24.75" thickBot="1" x14ac:dyDescent="0.25">
      <c r="A3" s="494" t="s">
        <v>201</v>
      </c>
      <c r="B3" s="394" t="s">
        <v>422</v>
      </c>
      <c r="C3" s="408" t="s">
        <v>60</v>
      </c>
    </row>
    <row r="4" spans="1:3" s="502" customFormat="1" ht="15.95" customHeight="1" thickBot="1" x14ac:dyDescent="0.3">
      <c r="A4" s="259"/>
      <c r="B4" s="259"/>
      <c r="C4" s="260" t="s">
        <v>578</v>
      </c>
    </row>
    <row r="5" spans="1:3" ht="13.5" thickBot="1" x14ac:dyDescent="0.25">
      <c r="A5" s="452" t="s">
        <v>203</v>
      </c>
      <c r="B5" s="261" t="s">
        <v>567</v>
      </c>
      <c r="C5" s="262" t="s">
        <v>56</v>
      </c>
    </row>
    <row r="6" spans="1:3" s="503" customFormat="1" ht="12.95" customHeight="1" thickBot="1" x14ac:dyDescent="0.25">
      <c r="A6" s="223"/>
      <c r="B6" s="224" t="s">
        <v>496</v>
      </c>
      <c r="C6" s="225" t="s">
        <v>497</v>
      </c>
    </row>
    <row r="7" spans="1:3" s="503" customFormat="1" ht="15.95" customHeight="1" thickBot="1" x14ac:dyDescent="0.25">
      <c r="A7" s="263"/>
      <c r="B7" s="264" t="s">
        <v>57</v>
      </c>
      <c r="C7" s="265"/>
    </row>
    <row r="8" spans="1:3" s="409" customFormat="1" ht="12" customHeight="1" thickBot="1" x14ac:dyDescent="0.25">
      <c r="A8" s="223" t="s">
        <v>18</v>
      </c>
      <c r="B8" s="266" t="s">
        <v>522</v>
      </c>
      <c r="C8" s="352">
        <f>SUM(C9:C19)</f>
        <v>9269999</v>
      </c>
    </row>
    <row r="9" spans="1:3" s="409" customFormat="1" ht="12" customHeight="1" x14ac:dyDescent="0.2">
      <c r="A9" s="495" t="s">
        <v>100</v>
      </c>
      <c r="B9" s="10" t="s">
        <v>277</v>
      </c>
      <c r="C9" s="398">
        <v>6299213</v>
      </c>
    </row>
    <row r="10" spans="1:3" s="409" customFormat="1" ht="12" customHeight="1" x14ac:dyDescent="0.2">
      <c r="A10" s="496" t="s">
        <v>101</v>
      </c>
      <c r="B10" s="8" t="s">
        <v>278</v>
      </c>
      <c r="C10" s="350"/>
    </row>
    <row r="11" spans="1:3" s="409" customFormat="1" ht="12" customHeight="1" x14ac:dyDescent="0.2">
      <c r="A11" s="496" t="s">
        <v>102</v>
      </c>
      <c r="B11" s="8" t="s">
        <v>279</v>
      </c>
      <c r="C11" s="350"/>
    </row>
    <row r="12" spans="1:3" s="409" customFormat="1" ht="12" customHeight="1" x14ac:dyDescent="0.2">
      <c r="A12" s="496" t="s">
        <v>103</v>
      </c>
      <c r="B12" s="8" t="s">
        <v>280</v>
      </c>
      <c r="C12" s="350"/>
    </row>
    <row r="13" spans="1:3" s="409" customFormat="1" ht="12" customHeight="1" x14ac:dyDescent="0.2">
      <c r="A13" s="496" t="s">
        <v>149</v>
      </c>
      <c r="B13" s="8" t="s">
        <v>281</v>
      </c>
      <c r="C13" s="350">
        <v>1000000</v>
      </c>
    </row>
    <row r="14" spans="1:3" s="409" customFormat="1" ht="12" customHeight="1" x14ac:dyDescent="0.2">
      <c r="A14" s="496" t="s">
        <v>104</v>
      </c>
      <c r="B14" s="8" t="s">
        <v>403</v>
      </c>
      <c r="C14" s="350">
        <v>1970786</v>
      </c>
    </row>
    <row r="15" spans="1:3" s="409" customFormat="1" ht="12" customHeight="1" x14ac:dyDescent="0.2">
      <c r="A15" s="496" t="s">
        <v>105</v>
      </c>
      <c r="B15" s="7" t="s">
        <v>404</v>
      </c>
      <c r="C15" s="350"/>
    </row>
    <row r="16" spans="1:3" s="409" customFormat="1" ht="12" customHeight="1" x14ac:dyDescent="0.2">
      <c r="A16" s="496" t="s">
        <v>115</v>
      </c>
      <c r="B16" s="8" t="s">
        <v>284</v>
      </c>
      <c r="C16" s="399"/>
    </row>
    <row r="17" spans="1:3" s="504" customFormat="1" ht="12" customHeight="1" x14ac:dyDescent="0.2">
      <c r="A17" s="496" t="s">
        <v>116</v>
      </c>
      <c r="B17" s="8" t="s">
        <v>285</v>
      </c>
      <c r="C17" s="350"/>
    </row>
    <row r="18" spans="1:3" s="504" customFormat="1" ht="12" customHeight="1" x14ac:dyDescent="0.2">
      <c r="A18" s="496" t="s">
        <v>117</v>
      </c>
      <c r="B18" s="8" t="s">
        <v>440</v>
      </c>
      <c r="C18" s="351"/>
    </row>
    <row r="19" spans="1:3" s="504" customFormat="1" ht="12" customHeight="1" thickBot="1" x14ac:dyDescent="0.25">
      <c r="A19" s="496" t="s">
        <v>118</v>
      </c>
      <c r="B19" s="7" t="s">
        <v>286</v>
      </c>
      <c r="C19" s="351"/>
    </row>
    <row r="20" spans="1:3" s="409" customFormat="1" ht="12" customHeight="1" thickBot="1" x14ac:dyDescent="0.25">
      <c r="A20" s="223" t="s">
        <v>19</v>
      </c>
      <c r="B20" s="266" t="s">
        <v>405</v>
      </c>
      <c r="C20" s="352">
        <f>SUM(C21:C23)</f>
        <v>0</v>
      </c>
    </row>
    <row r="21" spans="1:3" s="504" customFormat="1" ht="12" customHeight="1" x14ac:dyDescent="0.2">
      <c r="A21" s="496" t="s">
        <v>106</v>
      </c>
      <c r="B21" s="9" t="s">
        <v>258</v>
      </c>
      <c r="C21" s="350"/>
    </row>
    <row r="22" spans="1:3" s="504" customFormat="1" ht="12" customHeight="1" x14ac:dyDescent="0.2">
      <c r="A22" s="496" t="s">
        <v>107</v>
      </c>
      <c r="B22" s="8" t="s">
        <v>406</v>
      </c>
      <c r="C22" s="350"/>
    </row>
    <row r="23" spans="1:3" s="504" customFormat="1" ht="12" customHeight="1" x14ac:dyDescent="0.2">
      <c r="A23" s="496" t="s">
        <v>108</v>
      </c>
      <c r="B23" s="8" t="s">
        <v>407</v>
      </c>
      <c r="C23" s="350"/>
    </row>
    <row r="24" spans="1:3" s="504" customFormat="1" ht="12" customHeight="1" thickBot="1" x14ac:dyDescent="0.25">
      <c r="A24" s="496" t="s">
        <v>109</v>
      </c>
      <c r="B24" s="8" t="s">
        <v>527</v>
      </c>
      <c r="C24" s="350"/>
    </row>
    <row r="25" spans="1:3" s="504" customFormat="1" ht="12" customHeight="1" thickBot="1" x14ac:dyDescent="0.25">
      <c r="A25" s="230" t="s">
        <v>20</v>
      </c>
      <c r="B25" s="150" t="s">
        <v>172</v>
      </c>
      <c r="C25" s="379"/>
    </row>
    <row r="26" spans="1:3" s="504" customFormat="1" ht="12" customHeight="1" thickBot="1" x14ac:dyDescent="0.25">
      <c r="A26" s="230" t="s">
        <v>21</v>
      </c>
      <c r="B26" s="150" t="s">
        <v>408</v>
      </c>
      <c r="C26" s="352">
        <f>+C27+C28</f>
        <v>0</v>
      </c>
    </row>
    <row r="27" spans="1:3" s="504" customFormat="1" ht="12" customHeight="1" x14ac:dyDescent="0.2">
      <c r="A27" s="497" t="s">
        <v>268</v>
      </c>
      <c r="B27" s="498" t="s">
        <v>406</v>
      </c>
      <c r="C27" s="94"/>
    </row>
    <row r="28" spans="1:3" s="504" customFormat="1" ht="12" customHeight="1" x14ac:dyDescent="0.2">
      <c r="A28" s="497" t="s">
        <v>269</v>
      </c>
      <c r="B28" s="499" t="s">
        <v>409</v>
      </c>
      <c r="C28" s="353"/>
    </row>
    <row r="29" spans="1:3" s="504" customFormat="1" ht="12" customHeight="1" thickBot="1" x14ac:dyDescent="0.25">
      <c r="A29" s="496" t="s">
        <v>270</v>
      </c>
      <c r="B29" s="166" t="s">
        <v>528</v>
      </c>
      <c r="C29" s="101"/>
    </row>
    <row r="30" spans="1:3" s="504" customFormat="1" ht="12" customHeight="1" thickBot="1" x14ac:dyDescent="0.25">
      <c r="A30" s="230" t="s">
        <v>22</v>
      </c>
      <c r="B30" s="150" t="s">
        <v>410</v>
      </c>
      <c r="C30" s="352">
        <f>+C31+C32+C33</f>
        <v>0</v>
      </c>
    </row>
    <row r="31" spans="1:3" s="504" customFormat="1" ht="12" customHeight="1" x14ac:dyDescent="0.2">
      <c r="A31" s="497" t="s">
        <v>93</v>
      </c>
      <c r="B31" s="498" t="s">
        <v>291</v>
      </c>
      <c r="C31" s="94"/>
    </row>
    <row r="32" spans="1:3" s="504" customFormat="1" ht="12" customHeight="1" x14ac:dyDescent="0.2">
      <c r="A32" s="497" t="s">
        <v>94</v>
      </c>
      <c r="B32" s="499" t="s">
        <v>292</v>
      </c>
      <c r="C32" s="353"/>
    </row>
    <row r="33" spans="1:3" s="504" customFormat="1" ht="12" customHeight="1" thickBot="1" x14ac:dyDescent="0.25">
      <c r="A33" s="496" t="s">
        <v>95</v>
      </c>
      <c r="B33" s="166" t="s">
        <v>293</v>
      </c>
      <c r="C33" s="101"/>
    </row>
    <row r="34" spans="1:3" s="409" customFormat="1" ht="12" customHeight="1" thickBot="1" x14ac:dyDescent="0.25">
      <c r="A34" s="230" t="s">
        <v>23</v>
      </c>
      <c r="B34" s="150" t="s">
        <v>379</v>
      </c>
      <c r="C34" s="379"/>
    </row>
    <row r="35" spans="1:3" s="409" customFormat="1" ht="12" customHeight="1" thickBot="1" x14ac:dyDescent="0.25">
      <c r="A35" s="230" t="s">
        <v>24</v>
      </c>
      <c r="B35" s="150" t="s">
        <v>411</v>
      </c>
      <c r="C35" s="400"/>
    </row>
    <row r="36" spans="1:3" s="409" customFormat="1" ht="12" customHeight="1" thickBot="1" x14ac:dyDescent="0.25">
      <c r="A36" s="223" t="s">
        <v>25</v>
      </c>
      <c r="B36" s="150" t="s">
        <v>529</v>
      </c>
      <c r="C36" s="401">
        <f>+C8+C20+C25+C26+C30+C34+C35</f>
        <v>9269999</v>
      </c>
    </row>
    <row r="37" spans="1:3" s="409" customFormat="1" ht="12" customHeight="1" thickBot="1" x14ac:dyDescent="0.25">
      <c r="A37" s="267" t="s">
        <v>26</v>
      </c>
      <c r="B37" s="150" t="s">
        <v>413</v>
      </c>
      <c r="C37" s="401">
        <f>+C38+C39+C40</f>
        <v>33091846</v>
      </c>
    </row>
    <row r="38" spans="1:3" s="409" customFormat="1" ht="12" customHeight="1" x14ac:dyDescent="0.2">
      <c r="A38" s="497" t="s">
        <v>414</v>
      </c>
      <c r="B38" s="498" t="s">
        <v>236</v>
      </c>
      <c r="C38" s="94"/>
    </row>
    <row r="39" spans="1:3" s="409" customFormat="1" ht="12" customHeight="1" x14ac:dyDescent="0.2">
      <c r="A39" s="497" t="s">
        <v>415</v>
      </c>
      <c r="B39" s="499" t="s">
        <v>2</v>
      </c>
      <c r="C39" s="353"/>
    </row>
    <row r="40" spans="1:3" s="504" customFormat="1" ht="12" customHeight="1" thickBot="1" x14ac:dyDescent="0.25">
      <c r="A40" s="496" t="s">
        <v>416</v>
      </c>
      <c r="B40" s="166" t="s">
        <v>417</v>
      </c>
      <c r="C40" s="101">
        <f>C57-C36</f>
        <v>33091846</v>
      </c>
    </row>
    <row r="41" spans="1:3" s="504" customFormat="1" ht="15" customHeight="1" thickBot="1" x14ac:dyDescent="0.25">
      <c r="A41" s="267" t="s">
        <v>27</v>
      </c>
      <c r="B41" s="268" t="s">
        <v>418</v>
      </c>
      <c r="C41" s="404">
        <f>+C36+C37</f>
        <v>42361845</v>
      </c>
    </row>
    <row r="42" spans="1:3" s="504" customFormat="1" ht="15" customHeight="1" x14ac:dyDescent="0.2">
      <c r="A42" s="269"/>
      <c r="B42" s="270"/>
      <c r="C42" s="402"/>
    </row>
    <row r="43" spans="1:3" ht="13.5" thickBot="1" x14ac:dyDescent="0.25">
      <c r="A43" s="271"/>
      <c r="B43" s="272"/>
      <c r="C43" s="403"/>
    </row>
    <row r="44" spans="1:3" s="503" customFormat="1" ht="16.5" customHeight="1" thickBot="1" x14ac:dyDescent="0.25">
      <c r="A44" s="273"/>
      <c r="B44" s="274" t="s">
        <v>58</v>
      </c>
      <c r="C44" s="404"/>
    </row>
    <row r="45" spans="1:3" s="505" customFormat="1" ht="12" customHeight="1" thickBot="1" x14ac:dyDescent="0.25">
      <c r="A45" s="230" t="s">
        <v>18</v>
      </c>
      <c r="B45" s="150" t="s">
        <v>419</v>
      </c>
      <c r="C45" s="352">
        <f>SUM(C46:C50)</f>
        <v>42361845</v>
      </c>
    </row>
    <row r="46" spans="1:3" ht="12" customHeight="1" x14ac:dyDescent="0.2">
      <c r="A46" s="496" t="s">
        <v>100</v>
      </c>
      <c r="B46" s="9" t="s">
        <v>49</v>
      </c>
      <c r="C46" s="94">
        <v>14914550</v>
      </c>
    </row>
    <row r="47" spans="1:3" ht="12" customHeight="1" x14ac:dyDescent="0.2">
      <c r="A47" s="496" t="s">
        <v>101</v>
      </c>
      <c r="B47" s="8" t="s">
        <v>181</v>
      </c>
      <c r="C47" s="97">
        <v>3430521</v>
      </c>
    </row>
    <row r="48" spans="1:3" ht="12" customHeight="1" x14ac:dyDescent="0.2">
      <c r="A48" s="496" t="s">
        <v>102</v>
      </c>
      <c r="B48" s="8" t="s">
        <v>142</v>
      </c>
      <c r="C48" s="97">
        <v>24016774</v>
      </c>
    </row>
    <row r="49" spans="1:3" ht="12" customHeight="1" x14ac:dyDescent="0.2">
      <c r="A49" s="496" t="s">
        <v>103</v>
      </c>
      <c r="B49" s="8" t="s">
        <v>182</v>
      </c>
      <c r="C49" s="97"/>
    </row>
    <row r="50" spans="1:3" ht="12" customHeight="1" thickBot="1" x14ac:dyDescent="0.25">
      <c r="A50" s="496" t="s">
        <v>149</v>
      </c>
      <c r="B50" s="8" t="s">
        <v>183</v>
      </c>
      <c r="C50" s="97"/>
    </row>
    <row r="51" spans="1:3" ht="12" customHeight="1" thickBot="1" x14ac:dyDescent="0.25">
      <c r="A51" s="230" t="s">
        <v>19</v>
      </c>
      <c r="B51" s="150" t="s">
        <v>420</v>
      </c>
      <c r="C51" s="352">
        <f>SUM(C52:C54)</f>
        <v>0</v>
      </c>
    </row>
    <row r="52" spans="1:3" s="505" customFormat="1" ht="12" customHeight="1" x14ac:dyDescent="0.2">
      <c r="A52" s="496" t="s">
        <v>106</v>
      </c>
      <c r="B52" s="9" t="s">
        <v>226</v>
      </c>
      <c r="C52" s="94"/>
    </row>
    <row r="53" spans="1:3" ht="12" customHeight="1" x14ac:dyDescent="0.2">
      <c r="A53" s="496" t="s">
        <v>107</v>
      </c>
      <c r="B53" s="8" t="s">
        <v>185</v>
      </c>
      <c r="C53" s="97"/>
    </row>
    <row r="54" spans="1:3" ht="12" customHeight="1" x14ac:dyDescent="0.2">
      <c r="A54" s="496" t="s">
        <v>108</v>
      </c>
      <c r="B54" s="8" t="s">
        <v>59</v>
      </c>
      <c r="C54" s="97"/>
    </row>
    <row r="55" spans="1:3" ht="12" customHeight="1" thickBot="1" x14ac:dyDescent="0.25">
      <c r="A55" s="496" t="s">
        <v>109</v>
      </c>
      <c r="B55" s="8" t="s">
        <v>526</v>
      </c>
      <c r="C55" s="97"/>
    </row>
    <row r="56" spans="1:3" ht="15" customHeight="1" thickBot="1" x14ac:dyDescent="0.25">
      <c r="A56" s="230" t="s">
        <v>20</v>
      </c>
      <c r="B56" s="150" t="s">
        <v>12</v>
      </c>
      <c r="C56" s="379"/>
    </row>
    <row r="57" spans="1:3" ht="13.5" thickBot="1" x14ac:dyDescent="0.25">
      <c r="A57" s="230" t="s">
        <v>21</v>
      </c>
      <c r="B57" s="275" t="s">
        <v>533</v>
      </c>
      <c r="C57" s="405">
        <f>+C45+C51+C56</f>
        <v>42361845</v>
      </c>
    </row>
    <row r="58" spans="1:3" ht="15" customHeight="1" thickBot="1" x14ac:dyDescent="0.25">
      <c r="C58" s="406"/>
    </row>
    <row r="59" spans="1:3" ht="14.25" customHeight="1" thickBot="1" x14ac:dyDescent="0.25">
      <c r="A59" s="278" t="s">
        <v>521</v>
      </c>
      <c r="B59" s="279"/>
      <c r="C59" s="147">
        <v>8</v>
      </c>
    </row>
    <row r="60" spans="1:3" ht="13.5" thickBot="1" x14ac:dyDescent="0.25">
      <c r="A60" s="278" t="s">
        <v>204</v>
      </c>
      <c r="B60" s="279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2" sqref="C2"/>
    </sheetView>
  </sheetViews>
  <sheetFormatPr defaultRowHeight="12.75" x14ac:dyDescent="0.2"/>
  <cols>
    <col min="1" max="1" width="13.83203125" style="276" customWidth="1"/>
    <col min="2" max="2" width="79.1640625" style="277" customWidth="1"/>
    <col min="3" max="3" width="25" style="277" customWidth="1"/>
    <col min="4" max="16384" width="9.33203125" style="277"/>
  </cols>
  <sheetData>
    <row r="1" spans="1:3" s="256" customFormat="1" ht="21" customHeight="1" thickBot="1" x14ac:dyDescent="0.25">
      <c r="A1" s="255"/>
      <c r="B1" s="257"/>
      <c r="C1" s="500" t="str">
        <f>+CONCATENATE("9.3.3. melléklet a 6/",LEFT(ÖSSZEFÜGGÉSEK!A5,4),". (III. 13.) önkormányzati rendelethez")</f>
        <v>9.3.3. melléklet a 6/2017. (III. 13.) önkormányzati rendelethez</v>
      </c>
    </row>
    <row r="2" spans="1:3" s="501" customFormat="1" ht="25.5" customHeight="1" x14ac:dyDescent="0.2">
      <c r="A2" s="451" t="s">
        <v>202</v>
      </c>
      <c r="B2" s="393" t="s">
        <v>574</v>
      </c>
      <c r="C2" s="407" t="s">
        <v>61</v>
      </c>
    </row>
    <row r="3" spans="1:3" s="501" customFormat="1" ht="24.75" thickBot="1" x14ac:dyDescent="0.25">
      <c r="A3" s="494" t="s">
        <v>201</v>
      </c>
      <c r="B3" s="394" t="s">
        <v>534</v>
      </c>
      <c r="C3" s="408" t="s">
        <v>61</v>
      </c>
    </row>
    <row r="4" spans="1:3" s="502" customFormat="1" ht="15.95" customHeight="1" thickBot="1" x14ac:dyDescent="0.3">
      <c r="A4" s="259"/>
      <c r="B4" s="259"/>
      <c r="C4" s="260" t="s">
        <v>578</v>
      </c>
    </row>
    <row r="5" spans="1:3" ht="13.5" thickBot="1" x14ac:dyDescent="0.25">
      <c r="A5" s="452" t="s">
        <v>203</v>
      </c>
      <c r="B5" s="261" t="s">
        <v>567</v>
      </c>
      <c r="C5" s="262" t="s">
        <v>56</v>
      </c>
    </row>
    <row r="6" spans="1:3" s="503" customFormat="1" ht="12.95" customHeight="1" thickBot="1" x14ac:dyDescent="0.25">
      <c r="A6" s="223"/>
      <c r="B6" s="224" t="s">
        <v>496</v>
      </c>
      <c r="C6" s="225" t="s">
        <v>497</v>
      </c>
    </row>
    <row r="7" spans="1:3" s="503" customFormat="1" ht="15.95" customHeight="1" thickBot="1" x14ac:dyDescent="0.25">
      <c r="A7" s="263"/>
      <c r="B7" s="264" t="s">
        <v>57</v>
      </c>
      <c r="C7" s="265"/>
    </row>
    <row r="8" spans="1:3" s="409" customFormat="1" ht="12" customHeight="1" thickBot="1" x14ac:dyDescent="0.25">
      <c r="A8" s="223" t="s">
        <v>18</v>
      </c>
      <c r="B8" s="266" t="s">
        <v>522</v>
      </c>
      <c r="C8" s="352">
        <f>SUM(C9:C19)</f>
        <v>0</v>
      </c>
    </row>
    <row r="9" spans="1:3" s="409" customFormat="1" ht="12" customHeight="1" x14ac:dyDescent="0.2">
      <c r="A9" s="495" t="s">
        <v>100</v>
      </c>
      <c r="B9" s="10" t="s">
        <v>277</v>
      </c>
      <c r="C9" s="398"/>
    </row>
    <row r="10" spans="1:3" s="409" customFormat="1" ht="12" customHeight="1" x14ac:dyDescent="0.2">
      <c r="A10" s="496" t="s">
        <v>101</v>
      </c>
      <c r="B10" s="8" t="s">
        <v>278</v>
      </c>
      <c r="C10" s="350"/>
    </row>
    <row r="11" spans="1:3" s="409" customFormat="1" ht="12" customHeight="1" x14ac:dyDescent="0.2">
      <c r="A11" s="496" t="s">
        <v>102</v>
      </c>
      <c r="B11" s="8" t="s">
        <v>279</v>
      </c>
      <c r="C11" s="350"/>
    </row>
    <row r="12" spans="1:3" s="409" customFormat="1" ht="12" customHeight="1" x14ac:dyDescent="0.2">
      <c r="A12" s="496" t="s">
        <v>103</v>
      </c>
      <c r="B12" s="8" t="s">
        <v>280</v>
      </c>
      <c r="C12" s="350"/>
    </row>
    <row r="13" spans="1:3" s="409" customFormat="1" ht="12" customHeight="1" x14ac:dyDescent="0.2">
      <c r="A13" s="496" t="s">
        <v>149</v>
      </c>
      <c r="B13" s="8" t="s">
        <v>281</v>
      </c>
      <c r="C13" s="350"/>
    </row>
    <row r="14" spans="1:3" s="409" customFormat="1" ht="12" customHeight="1" x14ac:dyDescent="0.2">
      <c r="A14" s="496" t="s">
        <v>104</v>
      </c>
      <c r="B14" s="8" t="s">
        <v>403</v>
      </c>
      <c r="C14" s="350"/>
    </row>
    <row r="15" spans="1:3" s="409" customFormat="1" ht="12" customHeight="1" x14ac:dyDescent="0.2">
      <c r="A15" s="496" t="s">
        <v>105</v>
      </c>
      <c r="B15" s="7" t="s">
        <v>404</v>
      </c>
      <c r="C15" s="350"/>
    </row>
    <row r="16" spans="1:3" s="409" customFormat="1" ht="12" customHeight="1" x14ac:dyDescent="0.2">
      <c r="A16" s="496" t="s">
        <v>115</v>
      </c>
      <c r="B16" s="8" t="s">
        <v>284</v>
      </c>
      <c r="C16" s="399"/>
    </row>
    <row r="17" spans="1:3" s="504" customFormat="1" ht="12" customHeight="1" x14ac:dyDescent="0.2">
      <c r="A17" s="496" t="s">
        <v>116</v>
      </c>
      <c r="B17" s="8" t="s">
        <v>285</v>
      </c>
      <c r="C17" s="350"/>
    </row>
    <row r="18" spans="1:3" s="504" customFormat="1" ht="12" customHeight="1" x14ac:dyDescent="0.2">
      <c r="A18" s="496" t="s">
        <v>117</v>
      </c>
      <c r="B18" s="8" t="s">
        <v>440</v>
      </c>
      <c r="C18" s="351"/>
    </row>
    <row r="19" spans="1:3" s="504" customFormat="1" ht="12" customHeight="1" thickBot="1" x14ac:dyDescent="0.25">
      <c r="A19" s="496" t="s">
        <v>118</v>
      </c>
      <c r="B19" s="7" t="s">
        <v>286</v>
      </c>
      <c r="C19" s="351"/>
    </row>
    <row r="20" spans="1:3" s="409" customFormat="1" ht="12" customHeight="1" thickBot="1" x14ac:dyDescent="0.25">
      <c r="A20" s="223" t="s">
        <v>19</v>
      </c>
      <c r="B20" s="266" t="s">
        <v>405</v>
      </c>
      <c r="C20" s="352">
        <f>SUM(C21:C23)</f>
        <v>0</v>
      </c>
    </row>
    <row r="21" spans="1:3" s="504" customFormat="1" ht="12" customHeight="1" x14ac:dyDescent="0.2">
      <c r="A21" s="496" t="s">
        <v>106</v>
      </c>
      <c r="B21" s="9" t="s">
        <v>258</v>
      </c>
      <c r="C21" s="350"/>
    </row>
    <row r="22" spans="1:3" s="504" customFormat="1" ht="12" customHeight="1" x14ac:dyDescent="0.2">
      <c r="A22" s="496" t="s">
        <v>107</v>
      </c>
      <c r="B22" s="8" t="s">
        <v>406</v>
      </c>
      <c r="C22" s="350"/>
    </row>
    <row r="23" spans="1:3" s="504" customFormat="1" ht="12" customHeight="1" x14ac:dyDescent="0.2">
      <c r="A23" s="496" t="s">
        <v>108</v>
      </c>
      <c r="B23" s="8" t="s">
        <v>407</v>
      </c>
      <c r="C23" s="350"/>
    </row>
    <row r="24" spans="1:3" s="504" customFormat="1" ht="12" customHeight="1" thickBot="1" x14ac:dyDescent="0.25">
      <c r="A24" s="496" t="s">
        <v>109</v>
      </c>
      <c r="B24" s="8" t="s">
        <v>527</v>
      </c>
      <c r="C24" s="350"/>
    </row>
    <row r="25" spans="1:3" s="504" customFormat="1" ht="12" customHeight="1" thickBot="1" x14ac:dyDescent="0.25">
      <c r="A25" s="230" t="s">
        <v>20</v>
      </c>
      <c r="B25" s="150" t="s">
        <v>172</v>
      </c>
      <c r="C25" s="379"/>
    </row>
    <row r="26" spans="1:3" s="504" customFormat="1" ht="12" customHeight="1" thickBot="1" x14ac:dyDescent="0.25">
      <c r="A26" s="230" t="s">
        <v>21</v>
      </c>
      <c r="B26" s="150" t="s">
        <v>408</v>
      </c>
      <c r="C26" s="352">
        <f>+C27+C28</f>
        <v>0</v>
      </c>
    </row>
    <row r="27" spans="1:3" s="504" customFormat="1" ht="12" customHeight="1" x14ac:dyDescent="0.2">
      <c r="A27" s="497" t="s">
        <v>268</v>
      </c>
      <c r="B27" s="498" t="s">
        <v>406</v>
      </c>
      <c r="C27" s="94"/>
    </row>
    <row r="28" spans="1:3" s="504" customFormat="1" ht="12" customHeight="1" x14ac:dyDescent="0.2">
      <c r="A28" s="497" t="s">
        <v>269</v>
      </c>
      <c r="B28" s="499" t="s">
        <v>409</v>
      </c>
      <c r="C28" s="353"/>
    </row>
    <row r="29" spans="1:3" s="504" customFormat="1" ht="12" customHeight="1" thickBot="1" x14ac:dyDescent="0.25">
      <c r="A29" s="496" t="s">
        <v>270</v>
      </c>
      <c r="B29" s="166" t="s">
        <v>528</v>
      </c>
      <c r="C29" s="101"/>
    </row>
    <row r="30" spans="1:3" s="504" customFormat="1" ht="12" customHeight="1" thickBot="1" x14ac:dyDescent="0.25">
      <c r="A30" s="230" t="s">
        <v>22</v>
      </c>
      <c r="B30" s="150" t="s">
        <v>410</v>
      </c>
      <c r="C30" s="352">
        <f>+C31+C32+C33</f>
        <v>0</v>
      </c>
    </row>
    <row r="31" spans="1:3" s="504" customFormat="1" ht="12" customHeight="1" x14ac:dyDescent="0.2">
      <c r="A31" s="497" t="s">
        <v>93</v>
      </c>
      <c r="B31" s="498" t="s">
        <v>291</v>
      </c>
      <c r="C31" s="94"/>
    </row>
    <row r="32" spans="1:3" s="504" customFormat="1" ht="12" customHeight="1" x14ac:dyDescent="0.2">
      <c r="A32" s="497" t="s">
        <v>94</v>
      </c>
      <c r="B32" s="499" t="s">
        <v>292</v>
      </c>
      <c r="C32" s="353"/>
    </row>
    <row r="33" spans="1:3" s="504" customFormat="1" ht="12" customHeight="1" thickBot="1" x14ac:dyDescent="0.25">
      <c r="A33" s="496" t="s">
        <v>95</v>
      </c>
      <c r="B33" s="166" t="s">
        <v>293</v>
      </c>
      <c r="C33" s="101"/>
    </row>
    <row r="34" spans="1:3" s="409" customFormat="1" ht="12" customHeight="1" thickBot="1" x14ac:dyDescent="0.25">
      <c r="A34" s="230" t="s">
        <v>23</v>
      </c>
      <c r="B34" s="150" t="s">
        <v>379</v>
      </c>
      <c r="C34" s="379"/>
    </row>
    <row r="35" spans="1:3" s="409" customFormat="1" ht="12" customHeight="1" thickBot="1" x14ac:dyDescent="0.25">
      <c r="A35" s="230" t="s">
        <v>24</v>
      </c>
      <c r="B35" s="150" t="s">
        <v>411</v>
      </c>
      <c r="C35" s="400"/>
    </row>
    <row r="36" spans="1:3" s="409" customFormat="1" ht="12" customHeight="1" thickBot="1" x14ac:dyDescent="0.25">
      <c r="A36" s="223" t="s">
        <v>25</v>
      </c>
      <c r="B36" s="150" t="s">
        <v>529</v>
      </c>
      <c r="C36" s="401">
        <f>+C8+C20+C25+C26+C30+C34+C35</f>
        <v>0</v>
      </c>
    </row>
    <row r="37" spans="1:3" s="409" customFormat="1" ht="12" customHeight="1" thickBot="1" x14ac:dyDescent="0.25">
      <c r="A37" s="267" t="s">
        <v>26</v>
      </c>
      <c r="B37" s="150" t="s">
        <v>413</v>
      </c>
      <c r="C37" s="401">
        <f>+C38+C39+C40</f>
        <v>0</v>
      </c>
    </row>
    <row r="38" spans="1:3" s="409" customFormat="1" ht="12" customHeight="1" x14ac:dyDescent="0.2">
      <c r="A38" s="497" t="s">
        <v>414</v>
      </c>
      <c r="B38" s="498" t="s">
        <v>236</v>
      </c>
      <c r="C38" s="94"/>
    </row>
    <row r="39" spans="1:3" s="409" customFormat="1" ht="12" customHeight="1" x14ac:dyDescent="0.2">
      <c r="A39" s="497" t="s">
        <v>415</v>
      </c>
      <c r="B39" s="499" t="s">
        <v>2</v>
      </c>
      <c r="C39" s="353"/>
    </row>
    <row r="40" spans="1:3" s="504" customFormat="1" ht="12" customHeight="1" thickBot="1" x14ac:dyDescent="0.25">
      <c r="A40" s="496" t="s">
        <v>416</v>
      </c>
      <c r="B40" s="166" t="s">
        <v>417</v>
      </c>
      <c r="C40" s="101"/>
    </row>
    <row r="41" spans="1:3" s="504" customFormat="1" ht="15" customHeight="1" thickBot="1" x14ac:dyDescent="0.25">
      <c r="A41" s="267" t="s">
        <v>27</v>
      </c>
      <c r="B41" s="268" t="s">
        <v>418</v>
      </c>
      <c r="C41" s="404">
        <f>+C36+C37</f>
        <v>0</v>
      </c>
    </row>
    <row r="42" spans="1:3" s="504" customFormat="1" ht="15" customHeight="1" x14ac:dyDescent="0.2">
      <c r="A42" s="269"/>
      <c r="B42" s="270"/>
      <c r="C42" s="402"/>
    </row>
    <row r="43" spans="1:3" ht="13.5" thickBot="1" x14ac:dyDescent="0.25">
      <c r="A43" s="271"/>
      <c r="B43" s="272"/>
      <c r="C43" s="403"/>
    </row>
    <row r="44" spans="1:3" s="503" customFormat="1" ht="16.5" customHeight="1" thickBot="1" x14ac:dyDescent="0.25">
      <c r="A44" s="273"/>
      <c r="B44" s="274" t="s">
        <v>58</v>
      </c>
      <c r="C44" s="404"/>
    </row>
    <row r="45" spans="1:3" s="505" customFormat="1" ht="12" customHeight="1" thickBot="1" x14ac:dyDescent="0.25">
      <c r="A45" s="230" t="s">
        <v>18</v>
      </c>
      <c r="B45" s="150" t="s">
        <v>419</v>
      </c>
      <c r="C45" s="352">
        <f>SUM(C46:C50)</f>
        <v>0</v>
      </c>
    </row>
    <row r="46" spans="1:3" ht="12" customHeight="1" x14ac:dyDescent="0.2">
      <c r="A46" s="496" t="s">
        <v>100</v>
      </c>
      <c r="B46" s="9" t="s">
        <v>49</v>
      </c>
      <c r="C46" s="94"/>
    </row>
    <row r="47" spans="1:3" ht="12" customHeight="1" x14ac:dyDescent="0.2">
      <c r="A47" s="496" t="s">
        <v>101</v>
      </c>
      <c r="B47" s="8" t="s">
        <v>181</v>
      </c>
      <c r="C47" s="97"/>
    </row>
    <row r="48" spans="1:3" ht="12" customHeight="1" x14ac:dyDescent="0.2">
      <c r="A48" s="496" t="s">
        <v>102</v>
      </c>
      <c r="B48" s="8" t="s">
        <v>142</v>
      </c>
      <c r="C48" s="97"/>
    </row>
    <row r="49" spans="1:3" ht="12" customHeight="1" x14ac:dyDescent="0.2">
      <c r="A49" s="496" t="s">
        <v>103</v>
      </c>
      <c r="B49" s="8" t="s">
        <v>182</v>
      </c>
      <c r="C49" s="97"/>
    </row>
    <row r="50" spans="1:3" ht="12" customHeight="1" thickBot="1" x14ac:dyDescent="0.25">
      <c r="A50" s="496" t="s">
        <v>149</v>
      </c>
      <c r="B50" s="8" t="s">
        <v>183</v>
      </c>
      <c r="C50" s="97"/>
    </row>
    <row r="51" spans="1:3" ht="12" customHeight="1" thickBot="1" x14ac:dyDescent="0.25">
      <c r="A51" s="230" t="s">
        <v>19</v>
      </c>
      <c r="B51" s="150" t="s">
        <v>420</v>
      </c>
      <c r="C51" s="352">
        <f>SUM(C52:C54)</f>
        <v>0</v>
      </c>
    </row>
    <row r="52" spans="1:3" s="505" customFormat="1" ht="12" customHeight="1" x14ac:dyDescent="0.2">
      <c r="A52" s="496" t="s">
        <v>106</v>
      </c>
      <c r="B52" s="9" t="s">
        <v>226</v>
      </c>
      <c r="C52" s="94"/>
    </row>
    <row r="53" spans="1:3" ht="12" customHeight="1" x14ac:dyDescent="0.2">
      <c r="A53" s="496" t="s">
        <v>107</v>
      </c>
      <c r="B53" s="8" t="s">
        <v>185</v>
      </c>
      <c r="C53" s="97"/>
    </row>
    <row r="54" spans="1:3" ht="12" customHeight="1" x14ac:dyDescent="0.2">
      <c r="A54" s="496" t="s">
        <v>108</v>
      </c>
      <c r="B54" s="8" t="s">
        <v>59</v>
      </c>
      <c r="C54" s="97"/>
    </row>
    <row r="55" spans="1:3" ht="12" customHeight="1" thickBot="1" x14ac:dyDescent="0.25">
      <c r="A55" s="496" t="s">
        <v>109</v>
      </c>
      <c r="B55" s="8" t="s">
        <v>526</v>
      </c>
      <c r="C55" s="97"/>
    </row>
    <row r="56" spans="1:3" ht="15" customHeight="1" thickBot="1" x14ac:dyDescent="0.25">
      <c r="A56" s="230" t="s">
        <v>20</v>
      </c>
      <c r="B56" s="150" t="s">
        <v>12</v>
      </c>
      <c r="C56" s="379"/>
    </row>
    <row r="57" spans="1:3" ht="13.5" thickBot="1" x14ac:dyDescent="0.25">
      <c r="A57" s="230" t="s">
        <v>21</v>
      </c>
      <c r="B57" s="275" t="s">
        <v>533</v>
      </c>
      <c r="C57" s="405">
        <f>+C45+C51+C56</f>
        <v>0</v>
      </c>
    </row>
    <row r="58" spans="1:3" ht="15" customHeight="1" thickBot="1" x14ac:dyDescent="0.25">
      <c r="C58" s="406"/>
    </row>
    <row r="59" spans="1:3" ht="14.25" customHeight="1" thickBot="1" x14ac:dyDescent="0.25">
      <c r="A59" s="278" t="s">
        <v>521</v>
      </c>
      <c r="B59" s="279"/>
      <c r="C59" s="147"/>
    </row>
    <row r="60" spans="1:3" ht="13.5" thickBot="1" x14ac:dyDescent="0.25">
      <c r="A60" s="278" t="s">
        <v>204</v>
      </c>
      <c r="B60" s="279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8" sqref="C8:C57"/>
    </sheetView>
  </sheetViews>
  <sheetFormatPr defaultRowHeight="12.75" x14ac:dyDescent="0.2"/>
  <cols>
    <col min="1" max="1" width="13.83203125" style="276" customWidth="1"/>
    <col min="2" max="2" width="79.1640625" style="277" customWidth="1"/>
    <col min="3" max="3" width="25" style="277" customWidth="1"/>
    <col min="4" max="16384" width="9.33203125" style="277"/>
  </cols>
  <sheetData>
    <row r="1" spans="1:3" s="256" customFormat="1" ht="21" customHeight="1" thickBot="1" x14ac:dyDescent="0.25">
      <c r="A1" s="255"/>
      <c r="B1" s="257"/>
      <c r="C1" s="500" t="str">
        <f>+CONCATENATE("9.4. melléklet a 6/",LEFT(ÖSSZEFÜGGÉSEK!A5,4),". (III. 13.) önkormányzati rendelethez")</f>
        <v>9.4. melléklet a 6/2017. (III. 13.) önkormányzati rendelethez</v>
      </c>
    </row>
    <row r="2" spans="1:3" s="501" customFormat="1" ht="25.5" customHeight="1" x14ac:dyDescent="0.2">
      <c r="A2" s="451" t="s">
        <v>202</v>
      </c>
      <c r="B2" s="393" t="s">
        <v>572</v>
      </c>
      <c r="C2" s="407" t="s">
        <v>435</v>
      </c>
    </row>
    <row r="3" spans="1:3" s="501" customFormat="1" ht="24.75" thickBot="1" x14ac:dyDescent="0.25">
      <c r="A3" s="494" t="s">
        <v>201</v>
      </c>
      <c r="B3" s="394" t="s">
        <v>402</v>
      </c>
      <c r="C3" s="408"/>
    </row>
    <row r="4" spans="1:3" s="502" customFormat="1" ht="15.95" customHeight="1" thickBot="1" x14ac:dyDescent="0.3">
      <c r="A4" s="259"/>
      <c r="B4" s="259"/>
      <c r="C4" s="260" t="s">
        <v>578</v>
      </c>
    </row>
    <row r="5" spans="1:3" ht="13.5" thickBot="1" x14ac:dyDescent="0.25">
      <c r="A5" s="452" t="s">
        <v>203</v>
      </c>
      <c r="B5" s="261" t="s">
        <v>567</v>
      </c>
      <c r="C5" s="262" t="s">
        <v>56</v>
      </c>
    </row>
    <row r="6" spans="1:3" s="503" customFormat="1" ht="12.95" customHeight="1" thickBot="1" x14ac:dyDescent="0.25">
      <c r="A6" s="223"/>
      <c r="B6" s="224" t="s">
        <v>496</v>
      </c>
      <c r="C6" s="225" t="s">
        <v>497</v>
      </c>
    </row>
    <row r="7" spans="1:3" s="503" customFormat="1" ht="15.95" customHeight="1" thickBot="1" x14ac:dyDescent="0.25">
      <c r="A7" s="263"/>
      <c r="B7" s="264" t="s">
        <v>57</v>
      </c>
      <c r="C7" s="265"/>
    </row>
    <row r="8" spans="1:3" s="409" customFormat="1" ht="12" customHeight="1" thickBot="1" x14ac:dyDescent="0.25">
      <c r="A8" s="223" t="s">
        <v>18</v>
      </c>
      <c r="B8" s="266" t="s">
        <v>522</v>
      </c>
      <c r="C8" s="352">
        <f>SUM(C9:C19)</f>
        <v>20572159</v>
      </c>
    </row>
    <row r="9" spans="1:3" s="409" customFormat="1" ht="12" customHeight="1" x14ac:dyDescent="0.2">
      <c r="A9" s="495" t="s">
        <v>100</v>
      </c>
      <c r="B9" s="10" t="s">
        <v>277</v>
      </c>
      <c r="C9" s="579">
        <f>'9.4.1. sz. mell ILMKS'!C9+'9.4.2. sz. mell ILMKS'!C9+'9.4.3. sz. mell ILMKS'!C9</f>
        <v>2515000</v>
      </c>
    </row>
    <row r="10" spans="1:3" s="409" customFormat="1" ht="12" customHeight="1" x14ac:dyDescent="0.2">
      <c r="A10" s="496" t="s">
        <v>101</v>
      </c>
      <c r="B10" s="8" t="s">
        <v>278</v>
      </c>
      <c r="C10" s="350">
        <f>'9.4.1. sz. mell ILMKS'!C10+'9.4.2. sz. mell ILMKS'!C10+'9.4.3. sz. mell ILMKS'!C10</f>
        <v>14556860</v>
      </c>
    </row>
    <row r="11" spans="1:3" s="409" customFormat="1" ht="12" customHeight="1" x14ac:dyDescent="0.2">
      <c r="A11" s="496" t="s">
        <v>102</v>
      </c>
      <c r="B11" s="8" t="s">
        <v>279</v>
      </c>
      <c r="C11" s="399">
        <f>'9.4.1. sz. mell ILMKS'!C11+'9.4.2. sz. mell ILMKS'!C11+'9.4.3. sz. mell ILMKS'!C11</f>
        <v>147509</v>
      </c>
    </row>
    <row r="12" spans="1:3" s="409" customFormat="1" ht="12" customHeight="1" x14ac:dyDescent="0.2">
      <c r="A12" s="496" t="s">
        <v>103</v>
      </c>
      <c r="B12" s="8" t="s">
        <v>280</v>
      </c>
      <c r="C12" s="350">
        <f>'9.4.1. sz. mell ILMKS'!C12+'9.4.2. sz. mell ILMKS'!C12+'9.4.3. sz. mell ILMKS'!C12</f>
        <v>0</v>
      </c>
    </row>
    <row r="13" spans="1:3" s="409" customFormat="1" ht="12" customHeight="1" x14ac:dyDescent="0.2">
      <c r="A13" s="496" t="s">
        <v>149</v>
      </c>
      <c r="B13" s="8" t="s">
        <v>281</v>
      </c>
      <c r="C13" s="399">
        <f>'9.4.1. sz. mell ILMKS'!C13+'9.4.2. sz. mell ILMKS'!C13+'9.4.3. sz. mell ILMKS'!C13</f>
        <v>0</v>
      </c>
    </row>
    <row r="14" spans="1:3" s="409" customFormat="1" ht="12" customHeight="1" x14ac:dyDescent="0.2">
      <c r="A14" s="496" t="s">
        <v>104</v>
      </c>
      <c r="B14" s="8" t="s">
        <v>403</v>
      </c>
      <c r="C14" s="350">
        <f>'9.4.1. sz. mell ILMKS'!C14+'9.4.2. sz. mell ILMKS'!C14+'9.4.3. sz. mell ILMKS'!C14</f>
        <v>3324402</v>
      </c>
    </row>
    <row r="15" spans="1:3" s="409" customFormat="1" ht="12" customHeight="1" x14ac:dyDescent="0.2">
      <c r="A15" s="496" t="s">
        <v>105</v>
      </c>
      <c r="B15" s="7" t="s">
        <v>404</v>
      </c>
      <c r="C15" s="399">
        <f>'9.4.1. sz. mell ILMKS'!C15+'9.4.2. sz. mell ILMKS'!C15+'9.4.3. sz. mell ILMKS'!C15</f>
        <v>0</v>
      </c>
    </row>
    <row r="16" spans="1:3" s="409" customFormat="1" ht="12" customHeight="1" x14ac:dyDescent="0.2">
      <c r="A16" s="496" t="s">
        <v>115</v>
      </c>
      <c r="B16" s="8" t="s">
        <v>284</v>
      </c>
      <c r="C16" s="350">
        <f>'9.4.1. sz. mell ILMKS'!C16+'9.4.2. sz. mell ILMKS'!C16+'9.4.3. sz. mell ILMKS'!C16</f>
        <v>100</v>
      </c>
    </row>
    <row r="17" spans="1:3" s="504" customFormat="1" ht="12" customHeight="1" x14ac:dyDescent="0.2">
      <c r="A17" s="496" t="s">
        <v>116</v>
      </c>
      <c r="B17" s="8" t="s">
        <v>285</v>
      </c>
      <c r="C17" s="399">
        <f>'9.4.1. sz. mell ILMKS'!C17+'9.4.2. sz. mell ILMKS'!C17+'9.4.3. sz. mell ILMKS'!C17</f>
        <v>0</v>
      </c>
    </row>
    <row r="18" spans="1:3" s="504" customFormat="1" ht="12" customHeight="1" x14ac:dyDescent="0.2">
      <c r="A18" s="496" t="s">
        <v>117</v>
      </c>
      <c r="B18" s="8" t="s">
        <v>440</v>
      </c>
      <c r="C18" s="350">
        <f>'9.4.1. sz. mell ILMKS'!C18+'9.4.2. sz. mell ILMKS'!C18+'9.4.3. sz. mell ILMKS'!C18</f>
        <v>0</v>
      </c>
    </row>
    <row r="19" spans="1:3" s="504" customFormat="1" ht="12" customHeight="1" thickBot="1" x14ac:dyDescent="0.25">
      <c r="A19" s="496" t="s">
        <v>118</v>
      </c>
      <c r="B19" s="7" t="s">
        <v>286</v>
      </c>
      <c r="C19" s="349">
        <f>'9.4.1. sz. mell ILMKS'!C19+'9.4.2. sz. mell ILMKS'!C19+'9.4.3. sz. mell ILMKS'!C19</f>
        <v>28288</v>
      </c>
    </row>
    <row r="20" spans="1:3" s="409" customFormat="1" ht="12" customHeight="1" thickBot="1" x14ac:dyDescent="0.25">
      <c r="A20" s="223" t="s">
        <v>19</v>
      </c>
      <c r="B20" s="266" t="s">
        <v>405</v>
      </c>
      <c r="C20" s="352">
        <f>SUM(C21:C23)</f>
        <v>1212925</v>
      </c>
    </row>
    <row r="21" spans="1:3" s="504" customFormat="1" ht="12" customHeight="1" x14ac:dyDescent="0.2">
      <c r="A21" s="496" t="s">
        <v>106</v>
      </c>
      <c r="B21" s="9" t="s">
        <v>258</v>
      </c>
      <c r="C21" s="350"/>
    </row>
    <row r="22" spans="1:3" s="504" customFormat="1" ht="12" customHeight="1" x14ac:dyDescent="0.2">
      <c r="A22" s="496" t="s">
        <v>107</v>
      </c>
      <c r="B22" s="8" t="s">
        <v>406</v>
      </c>
      <c r="C22" s="350"/>
    </row>
    <row r="23" spans="1:3" s="504" customFormat="1" ht="12" customHeight="1" x14ac:dyDescent="0.2">
      <c r="A23" s="496" t="s">
        <v>108</v>
      </c>
      <c r="B23" s="8" t="s">
        <v>407</v>
      </c>
      <c r="C23" s="350">
        <f>'9.4.1. sz. mell ILMKS'!C23</f>
        <v>1212925</v>
      </c>
    </row>
    <row r="24" spans="1:3" s="504" customFormat="1" ht="12" customHeight="1" thickBot="1" x14ac:dyDescent="0.25">
      <c r="A24" s="496" t="s">
        <v>109</v>
      </c>
      <c r="B24" s="8" t="s">
        <v>527</v>
      </c>
      <c r="C24" s="350"/>
    </row>
    <row r="25" spans="1:3" s="504" customFormat="1" ht="12" customHeight="1" thickBot="1" x14ac:dyDescent="0.25">
      <c r="A25" s="230" t="s">
        <v>20</v>
      </c>
      <c r="B25" s="150" t="s">
        <v>172</v>
      </c>
      <c r="C25" s="379"/>
    </row>
    <row r="26" spans="1:3" s="504" customFormat="1" ht="12" customHeight="1" thickBot="1" x14ac:dyDescent="0.25">
      <c r="A26" s="230" t="s">
        <v>21</v>
      </c>
      <c r="B26" s="150" t="s">
        <v>408</v>
      </c>
      <c r="C26" s="352">
        <f>+C27+C28</f>
        <v>0</v>
      </c>
    </row>
    <row r="27" spans="1:3" s="504" customFormat="1" ht="12" customHeight="1" x14ac:dyDescent="0.2">
      <c r="A27" s="497" t="s">
        <v>268</v>
      </c>
      <c r="B27" s="498" t="s">
        <v>406</v>
      </c>
      <c r="C27" s="94"/>
    </row>
    <row r="28" spans="1:3" s="504" customFormat="1" ht="12" customHeight="1" x14ac:dyDescent="0.2">
      <c r="A28" s="497" t="s">
        <v>269</v>
      </c>
      <c r="B28" s="499" t="s">
        <v>409</v>
      </c>
      <c r="C28" s="353"/>
    </row>
    <row r="29" spans="1:3" s="504" customFormat="1" ht="12" customHeight="1" thickBot="1" x14ac:dyDescent="0.25">
      <c r="A29" s="496" t="s">
        <v>270</v>
      </c>
      <c r="B29" s="166" t="s">
        <v>528</v>
      </c>
      <c r="C29" s="101"/>
    </row>
    <row r="30" spans="1:3" s="504" customFormat="1" ht="12" customHeight="1" thickBot="1" x14ac:dyDescent="0.25">
      <c r="A30" s="230" t="s">
        <v>22</v>
      </c>
      <c r="B30" s="150" t="s">
        <v>410</v>
      </c>
      <c r="C30" s="352">
        <f>+C31+C32+C33</f>
        <v>0</v>
      </c>
    </row>
    <row r="31" spans="1:3" s="504" customFormat="1" ht="12" customHeight="1" x14ac:dyDescent="0.2">
      <c r="A31" s="497" t="s">
        <v>93</v>
      </c>
      <c r="B31" s="498" t="s">
        <v>291</v>
      </c>
      <c r="C31" s="94"/>
    </row>
    <row r="32" spans="1:3" s="504" customFormat="1" ht="12" customHeight="1" x14ac:dyDescent="0.2">
      <c r="A32" s="497" t="s">
        <v>94</v>
      </c>
      <c r="B32" s="499" t="s">
        <v>292</v>
      </c>
      <c r="C32" s="353"/>
    </row>
    <row r="33" spans="1:3" s="504" customFormat="1" ht="12" customHeight="1" thickBot="1" x14ac:dyDescent="0.25">
      <c r="A33" s="496" t="s">
        <v>95</v>
      </c>
      <c r="B33" s="166" t="s">
        <v>293</v>
      </c>
      <c r="C33" s="101"/>
    </row>
    <row r="34" spans="1:3" s="409" customFormat="1" ht="12" customHeight="1" thickBot="1" x14ac:dyDescent="0.25">
      <c r="A34" s="230" t="s">
        <v>23</v>
      </c>
      <c r="B34" s="150" t="s">
        <v>379</v>
      </c>
      <c r="C34" s="379"/>
    </row>
    <row r="35" spans="1:3" s="409" customFormat="1" ht="12" customHeight="1" thickBot="1" x14ac:dyDescent="0.25">
      <c r="A35" s="230" t="s">
        <v>24</v>
      </c>
      <c r="B35" s="150" t="s">
        <v>411</v>
      </c>
      <c r="C35" s="400"/>
    </row>
    <row r="36" spans="1:3" s="409" customFormat="1" ht="12" customHeight="1" thickBot="1" x14ac:dyDescent="0.25">
      <c r="A36" s="223" t="s">
        <v>25</v>
      </c>
      <c r="B36" s="150" t="s">
        <v>529</v>
      </c>
      <c r="C36" s="401">
        <f>+C8+C20+C25+C26+C30+C34+C35</f>
        <v>21785084</v>
      </c>
    </row>
    <row r="37" spans="1:3" s="409" customFormat="1" ht="12" customHeight="1" thickBot="1" x14ac:dyDescent="0.25">
      <c r="A37" s="267" t="s">
        <v>26</v>
      </c>
      <c r="B37" s="150" t="s">
        <v>413</v>
      </c>
      <c r="C37" s="401">
        <f>+C38+C39+C40</f>
        <v>38165968</v>
      </c>
    </row>
    <row r="38" spans="1:3" s="409" customFormat="1" ht="12" customHeight="1" x14ac:dyDescent="0.2">
      <c r="A38" s="497" t="s">
        <v>414</v>
      </c>
      <c r="B38" s="498" t="s">
        <v>236</v>
      </c>
      <c r="C38" s="94">
        <f>+'9.4.1. sz. mell ILMKS'!C38</f>
        <v>1355122</v>
      </c>
    </row>
    <row r="39" spans="1:3" s="409" customFormat="1" ht="12" customHeight="1" x14ac:dyDescent="0.2">
      <c r="A39" s="497" t="s">
        <v>415</v>
      </c>
      <c r="B39" s="499" t="s">
        <v>2</v>
      </c>
      <c r="C39" s="353">
        <f>+'9.4.2. sz. mell ILMKS'!C39</f>
        <v>803428</v>
      </c>
    </row>
    <row r="40" spans="1:3" s="504" customFormat="1" ht="12" customHeight="1" thickBot="1" x14ac:dyDescent="0.25">
      <c r="A40" s="496" t="s">
        <v>416</v>
      </c>
      <c r="B40" s="166" t="s">
        <v>417</v>
      </c>
      <c r="C40" s="101">
        <f>'9.4.1. sz. mell ILMKS'!C40+'9.4.2. sz. mell ILMKS'!C40+'9.4.3. sz. mell ILMKS'!C40</f>
        <v>36007418</v>
      </c>
    </row>
    <row r="41" spans="1:3" s="504" customFormat="1" ht="15" customHeight="1" thickBot="1" x14ac:dyDescent="0.25">
      <c r="A41" s="267" t="s">
        <v>27</v>
      </c>
      <c r="B41" s="268" t="s">
        <v>418</v>
      </c>
      <c r="C41" s="404">
        <f>+C36+C37</f>
        <v>59951052</v>
      </c>
    </row>
    <row r="42" spans="1:3" s="504" customFormat="1" ht="15" customHeight="1" x14ac:dyDescent="0.2">
      <c r="A42" s="269"/>
      <c r="B42" s="270"/>
      <c r="C42" s="402"/>
    </row>
    <row r="43" spans="1:3" ht="13.5" thickBot="1" x14ac:dyDescent="0.25">
      <c r="A43" s="271"/>
      <c r="B43" s="272"/>
      <c r="C43" s="403"/>
    </row>
    <row r="44" spans="1:3" s="503" customFormat="1" ht="16.5" customHeight="1" thickBot="1" x14ac:dyDescent="0.25">
      <c r="A44" s="273"/>
      <c r="B44" s="274" t="s">
        <v>58</v>
      </c>
      <c r="C44" s="404"/>
    </row>
    <row r="45" spans="1:3" s="505" customFormat="1" ht="12" customHeight="1" thickBot="1" x14ac:dyDescent="0.25">
      <c r="A45" s="230" t="s">
        <v>18</v>
      </c>
      <c r="B45" s="150" t="s">
        <v>419</v>
      </c>
      <c r="C45" s="352">
        <f>SUM(C46:C50)</f>
        <v>58951052</v>
      </c>
    </row>
    <row r="46" spans="1:3" ht="12" customHeight="1" x14ac:dyDescent="0.2">
      <c r="A46" s="496" t="s">
        <v>100</v>
      </c>
      <c r="B46" s="9" t="s">
        <v>49</v>
      </c>
      <c r="C46" s="94">
        <f>'9.4.1. sz. mell ILMKS'!C46+'9.4.2. sz. mell ILMKS'!C46+'9.4.3. sz. mell ILMKS'!C46</f>
        <v>20197120</v>
      </c>
    </row>
    <row r="47" spans="1:3" ht="12" customHeight="1" x14ac:dyDescent="0.2">
      <c r="A47" s="496" t="s">
        <v>101</v>
      </c>
      <c r="B47" s="8" t="s">
        <v>181</v>
      </c>
      <c r="C47" s="94">
        <f>'9.4.1. sz. mell ILMKS'!C47+'9.4.2. sz. mell ILMKS'!C47+'9.4.3. sz. mell ILMKS'!C47</f>
        <v>5457031</v>
      </c>
    </row>
    <row r="48" spans="1:3" ht="12" customHeight="1" x14ac:dyDescent="0.2">
      <c r="A48" s="496" t="s">
        <v>102</v>
      </c>
      <c r="B48" s="8" t="s">
        <v>142</v>
      </c>
      <c r="C48" s="94">
        <f>'9.4.1. sz. mell ILMKS'!C48+'9.4.2. sz. mell ILMKS'!C48+'9.4.3. sz. mell ILMKS'!C48</f>
        <v>33216558</v>
      </c>
    </row>
    <row r="49" spans="1:3" ht="12" customHeight="1" x14ac:dyDescent="0.2">
      <c r="A49" s="496" t="s">
        <v>103</v>
      </c>
      <c r="B49" s="8" t="s">
        <v>182</v>
      </c>
      <c r="C49" s="94">
        <f>'9.4.1. sz. mell ILMKS'!C49+'9.4.2. sz. mell ILMKS'!C49+'9.4.3. sz. mell ILMKS'!C49</f>
        <v>0</v>
      </c>
    </row>
    <row r="50" spans="1:3" ht="12" customHeight="1" thickBot="1" x14ac:dyDescent="0.25">
      <c r="A50" s="496" t="s">
        <v>149</v>
      </c>
      <c r="B50" s="8" t="s">
        <v>183</v>
      </c>
      <c r="C50" s="94">
        <f>'9.4.1. sz. mell ILMKS'!C50+'9.4.2. sz. mell ILMKS'!C50+'9.4.3. sz. mell ILMKS'!C50</f>
        <v>80343</v>
      </c>
    </row>
    <row r="51" spans="1:3" ht="12" customHeight="1" thickBot="1" x14ac:dyDescent="0.25">
      <c r="A51" s="230" t="s">
        <v>19</v>
      </c>
      <c r="B51" s="150" t="s">
        <v>420</v>
      </c>
      <c r="C51" s="352">
        <f>SUM(C52:C54)</f>
        <v>1000000</v>
      </c>
    </row>
    <row r="52" spans="1:3" s="505" customFormat="1" ht="12" customHeight="1" x14ac:dyDescent="0.2">
      <c r="A52" s="496" t="s">
        <v>106</v>
      </c>
      <c r="B52" s="9" t="s">
        <v>226</v>
      </c>
      <c r="C52" s="94">
        <f>'9.4.1. sz. mell ILMKS'!C52+'9.4.2. sz. mell ILMKS'!C52+'9.4.3. sz. mell ILMKS'!C52</f>
        <v>1000000</v>
      </c>
    </row>
    <row r="53" spans="1:3" ht="12" customHeight="1" x14ac:dyDescent="0.2">
      <c r="A53" s="496" t="s">
        <v>107</v>
      </c>
      <c r="B53" s="8" t="s">
        <v>185</v>
      </c>
      <c r="C53" s="94">
        <f>'9.4.1. sz. mell ILMKS'!C53+'9.4.2. sz. mell ILMKS'!C53+'9.4.3. sz. mell ILMKS'!C53</f>
        <v>0</v>
      </c>
    </row>
    <row r="54" spans="1:3" ht="12" customHeight="1" x14ac:dyDescent="0.2">
      <c r="A54" s="496" t="s">
        <v>108</v>
      </c>
      <c r="B54" s="8" t="s">
        <v>59</v>
      </c>
      <c r="C54" s="94">
        <f>'9.4.1. sz. mell ILMKS'!C54+'9.4.2. sz. mell ILMKS'!C54+'9.4.3. sz. mell ILMKS'!C54</f>
        <v>0</v>
      </c>
    </row>
    <row r="55" spans="1:3" ht="12" customHeight="1" thickBot="1" x14ac:dyDescent="0.25">
      <c r="A55" s="496" t="s">
        <v>109</v>
      </c>
      <c r="B55" s="8" t="s">
        <v>526</v>
      </c>
      <c r="C55" s="94">
        <f>'9.4.1. sz. mell ILMKS'!C55+'9.4.2. sz. mell ILMKS'!C55+'9.4.3. sz. mell ILMKS'!C55</f>
        <v>0</v>
      </c>
    </row>
    <row r="56" spans="1:3" ht="15" customHeight="1" thickBot="1" x14ac:dyDescent="0.25">
      <c r="A56" s="230" t="s">
        <v>20</v>
      </c>
      <c r="B56" s="150" t="s">
        <v>12</v>
      </c>
      <c r="C56" s="379"/>
    </row>
    <row r="57" spans="1:3" ht="13.5" thickBot="1" x14ac:dyDescent="0.25">
      <c r="A57" s="230" t="s">
        <v>21</v>
      </c>
      <c r="B57" s="275" t="s">
        <v>533</v>
      </c>
      <c r="C57" s="405">
        <f>+C45+C51+C56</f>
        <v>59951052</v>
      </c>
    </row>
    <row r="58" spans="1:3" ht="15" customHeight="1" thickBot="1" x14ac:dyDescent="0.25">
      <c r="C58" s="406"/>
    </row>
    <row r="59" spans="1:3" ht="14.25" customHeight="1" thickBot="1" x14ac:dyDescent="0.25">
      <c r="A59" s="278" t="s">
        <v>521</v>
      </c>
      <c r="B59" s="279"/>
      <c r="C59" s="147"/>
    </row>
    <row r="60" spans="1:3" ht="13.5" thickBot="1" x14ac:dyDescent="0.25">
      <c r="A60" s="278" t="s">
        <v>204</v>
      </c>
      <c r="B60" s="279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8" sqref="C8:C57"/>
    </sheetView>
  </sheetViews>
  <sheetFormatPr defaultRowHeight="12.75" x14ac:dyDescent="0.2"/>
  <cols>
    <col min="1" max="1" width="13.83203125" style="276" customWidth="1"/>
    <col min="2" max="2" width="79.1640625" style="277" customWidth="1"/>
    <col min="3" max="3" width="25" style="277" customWidth="1"/>
    <col min="4" max="16384" width="9.33203125" style="277"/>
  </cols>
  <sheetData>
    <row r="1" spans="1:3" s="256" customFormat="1" ht="21" customHeight="1" thickBot="1" x14ac:dyDescent="0.25">
      <c r="A1" s="255"/>
      <c r="B1" s="257"/>
      <c r="C1" s="500" t="str">
        <f>+CONCATENATE("9.4.1. melléklet a 6/",LEFT(ÖSSZEFÜGGÉSEK!A5,4),". (III. 13.) önkormányzati rendelethez")</f>
        <v>9.4.1. melléklet a 6/2017. (III. 13.) önkormányzati rendelethez</v>
      </c>
    </row>
    <row r="2" spans="1:3" s="501" customFormat="1" ht="25.5" customHeight="1" x14ac:dyDescent="0.2">
      <c r="A2" s="451" t="s">
        <v>202</v>
      </c>
      <c r="B2" s="393" t="s">
        <v>572</v>
      </c>
      <c r="C2" s="407" t="s">
        <v>435</v>
      </c>
    </row>
    <row r="3" spans="1:3" s="501" customFormat="1" ht="24.75" thickBot="1" x14ac:dyDescent="0.25">
      <c r="A3" s="494" t="s">
        <v>201</v>
      </c>
      <c r="B3" s="394" t="s">
        <v>421</v>
      </c>
      <c r="C3" s="408" t="s">
        <v>54</v>
      </c>
    </row>
    <row r="4" spans="1:3" s="502" customFormat="1" ht="15.95" customHeight="1" thickBot="1" x14ac:dyDescent="0.3">
      <c r="A4" s="259"/>
      <c r="B4" s="259"/>
      <c r="C4" s="260" t="s">
        <v>578</v>
      </c>
    </row>
    <row r="5" spans="1:3" ht="13.5" thickBot="1" x14ac:dyDescent="0.25">
      <c r="A5" s="452" t="s">
        <v>203</v>
      </c>
      <c r="B5" s="261" t="s">
        <v>567</v>
      </c>
      <c r="C5" s="262" t="s">
        <v>56</v>
      </c>
    </row>
    <row r="6" spans="1:3" s="503" customFormat="1" ht="12.95" customHeight="1" thickBot="1" x14ac:dyDescent="0.25">
      <c r="A6" s="223"/>
      <c r="B6" s="224" t="s">
        <v>496</v>
      </c>
      <c r="C6" s="225" t="s">
        <v>497</v>
      </c>
    </row>
    <row r="7" spans="1:3" s="503" customFormat="1" ht="15.95" customHeight="1" thickBot="1" x14ac:dyDescent="0.25">
      <c r="A7" s="263"/>
      <c r="B7" s="264" t="s">
        <v>57</v>
      </c>
      <c r="C7" s="265"/>
    </row>
    <row r="8" spans="1:3" s="409" customFormat="1" ht="12" customHeight="1" thickBot="1" x14ac:dyDescent="0.25">
      <c r="A8" s="223" t="s">
        <v>18</v>
      </c>
      <c r="B8" s="266" t="s">
        <v>522</v>
      </c>
      <c r="C8" s="352">
        <f>SUM(C9:C19)</f>
        <v>18802159</v>
      </c>
    </row>
    <row r="9" spans="1:3" s="409" customFormat="1" ht="12" customHeight="1" x14ac:dyDescent="0.2">
      <c r="A9" s="495" t="s">
        <v>100</v>
      </c>
      <c r="B9" s="10" t="s">
        <v>277</v>
      </c>
      <c r="C9" s="398">
        <f>615000+400000</f>
        <v>1015000</v>
      </c>
    </row>
    <row r="10" spans="1:3" s="409" customFormat="1" ht="12" customHeight="1" x14ac:dyDescent="0.2">
      <c r="A10" s="496" t="s">
        <v>101</v>
      </c>
      <c r="B10" s="8" t="s">
        <v>278</v>
      </c>
      <c r="C10" s="350">
        <f>12356860-1300000+1500000+2000000</f>
        <v>14556860</v>
      </c>
    </row>
    <row r="11" spans="1:3" s="409" customFormat="1" ht="12" customHeight="1" x14ac:dyDescent="0.2">
      <c r="A11" s="496" t="s">
        <v>102</v>
      </c>
      <c r="B11" s="8" t="s">
        <v>279</v>
      </c>
      <c r="C11" s="350">
        <f>12430+135079</f>
        <v>147509</v>
      </c>
    </row>
    <row r="12" spans="1:3" s="409" customFormat="1" ht="12" customHeight="1" x14ac:dyDescent="0.2">
      <c r="A12" s="496" t="s">
        <v>103</v>
      </c>
      <c r="B12" s="8" t="s">
        <v>280</v>
      </c>
      <c r="C12" s="350"/>
    </row>
    <row r="13" spans="1:3" s="409" customFormat="1" ht="12" customHeight="1" x14ac:dyDescent="0.2">
      <c r="A13" s="496" t="s">
        <v>149</v>
      </c>
      <c r="B13" s="8" t="s">
        <v>281</v>
      </c>
      <c r="C13" s="350"/>
    </row>
    <row r="14" spans="1:3" s="409" customFormat="1" ht="12" customHeight="1" x14ac:dyDescent="0.2">
      <c r="A14" s="496" t="s">
        <v>104</v>
      </c>
      <c r="B14" s="8" t="s">
        <v>403</v>
      </c>
      <c r="C14" s="350">
        <v>3054402</v>
      </c>
    </row>
    <row r="15" spans="1:3" s="409" customFormat="1" ht="12" customHeight="1" x14ac:dyDescent="0.2">
      <c r="A15" s="496" t="s">
        <v>105</v>
      </c>
      <c r="B15" s="7" t="s">
        <v>404</v>
      </c>
      <c r="C15" s="350">
        <v>0</v>
      </c>
    </row>
    <row r="16" spans="1:3" s="409" customFormat="1" ht="12" customHeight="1" x14ac:dyDescent="0.2">
      <c r="A16" s="496" t="s">
        <v>115</v>
      </c>
      <c r="B16" s="8" t="s">
        <v>284</v>
      </c>
      <c r="C16" s="399">
        <v>100</v>
      </c>
    </row>
    <row r="17" spans="1:3" s="504" customFormat="1" ht="12" customHeight="1" x14ac:dyDescent="0.2">
      <c r="A17" s="496" t="s">
        <v>116</v>
      </c>
      <c r="B17" s="8" t="s">
        <v>285</v>
      </c>
      <c r="C17" s="350"/>
    </row>
    <row r="18" spans="1:3" s="504" customFormat="1" ht="12" customHeight="1" x14ac:dyDescent="0.2">
      <c r="A18" s="496" t="s">
        <v>117</v>
      </c>
      <c r="B18" s="8" t="s">
        <v>440</v>
      </c>
      <c r="C18" s="351"/>
    </row>
    <row r="19" spans="1:3" s="504" customFormat="1" ht="12" customHeight="1" thickBot="1" x14ac:dyDescent="0.25">
      <c r="A19" s="496" t="s">
        <v>118</v>
      </c>
      <c r="B19" s="7" t="s">
        <v>286</v>
      </c>
      <c r="C19" s="351">
        <v>28288</v>
      </c>
    </row>
    <row r="20" spans="1:3" s="409" customFormat="1" ht="12" customHeight="1" thickBot="1" x14ac:dyDescent="0.25">
      <c r="A20" s="223" t="s">
        <v>19</v>
      </c>
      <c r="B20" s="266" t="s">
        <v>405</v>
      </c>
      <c r="C20" s="352">
        <f>SUM(C21:C23)</f>
        <v>1212925</v>
      </c>
    </row>
    <row r="21" spans="1:3" s="504" customFormat="1" ht="12" customHeight="1" x14ac:dyDescent="0.2">
      <c r="A21" s="496" t="s">
        <v>106</v>
      </c>
      <c r="B21" s="9" t="s">
        <v>258</v>
      </c>
      <c r="C21" s="350"/>
    </row>
    <row r="22" spans="1:3" s="504" customFormat="1" ht="12" customHeight="1" x14ac:dyDescent="0.2">
      <c r="A22" s="496" t="s">
        <v>107</v>
      </c>
      <c r="B22" s="8" t="s">
        <v>406</v>
      </c>
      <c r="C22" s="350"/>
    </row>
    <row r="23" spans="1:3" s="504" customFormat="1" ht="12" customHeight="1" x14ac:dyDescent="0.2">
      <c r="A23" s="496" t="s">
        <v>108</v>
      </c>
      <c r="B23" s="8" t="s">
        <v>407</v>
      </c>
      <c r="C23" s="350">
        <f>688086+524839</f>
        <v>1212925</v>
      </c>
    </row>
    <row r="24" spans="1:3" s="504" customFormat="1" ht="12" customHeight="1" thickBot="1" x14ac:dyDescent="0.25">
      <c r="A24" s="496" t="s">
        <v>109</v>
      </c>
      <c r="B24" s="8" t="s">
        <v>527</v>
      </c>
      <c r="C24" s="350"/>
    </row>
    <row r="25" spans="1:3" s="504" customFormat="1" ht="12" customHeight="1" thickBot="1" x14ac:dyDescent="0.25">
      <c r="A25" s="230" t="s">
        <v>20</v>
      </c>
      <c r="B25" s="150" t="s">
        <v>172</v>
      </c>
      <c r="C25" s="379"/>
    </row>
    <row r="26" spans="1:3" s="504" customFormat="1" ht="12" customHeight="1" thickBot="1" x14ac:dyDescent="0.25">
      <c r="A26" s="230" t="s">
        <v>21</v>
      </c>
      <c r="B26" s="150" t="s">
        <v>408</v>
      </c>
      <c r="C26" s="352">
        <f>+C27+C28</f>
        <v>0</v>
      </c>
    </row>
    <row r="27" spans="1:3" s="504" customFormat="1" ht="12" customHeight="1" x14ac:dyDescent="0.2">
      <c r="A27" s="497" t="s">
        <v>268</v>
      </c>
      <c r="B27" s="498" t="s">
        <v>406</v>
      </c>
      <c r="C27" s="94"/>
    </row>
    <row r="28" spans="1:3" s="504" customFormat="1" ht="12" customHeight="1" x14ac:dyDescent="0.2">
      <c r="A28" s="497" t="s">
        <v>269</v>
      </c>
      <c r="B28" s="499" t="s">
        <v>409</v>
      </c>
      <c r="C28" s="353"/>
    </row>
    <row r="29" spans="1:3" s="504" customFormat="1" ht="12" customHeight="1" thickBot="1" x14ac:dyDescent="0.25">
      <c r="A29" s="496" t="s">
        <v>270</v>
      </c>
      <c r="B29" s="166" t="s">
        <v>528</v>
      </c>
      <c r="C29" s="101"/>
    </row>
    <row r="30" spans="1:3" s="504" customFormat="1" ht="12" customHeight="1" thickBot="1" x14ac:dyDescent="0.25">
      <c r="A30" s="230" t="s">
        <v>22</v>
      </c>
      <c r="B30" s="150" t="s">
        <v>410</v>
      </c>
      <c r="C30" s="352">
        <f>+C31+C32+C33</f>
        <v>0</v>
      </c>
    </row>
    <row r="31" spans="1:3" s="504" customFormat="1" ht="12" customHeight="1" x14ac:dyDescent="0.2">
      <c r="A31" s="497" t="s">
        <v>93</v>
      </c>
      <c r="B31" s="498" t="s">
        <v>291</v>
      </c>
      <c r="C31" s="94"/>
    </row>
    <row r="32" spans="1:3" s="504" customFormat="1" ht="12" customHeight="1" x14ac:dyDescent="0.2">
      <c r="A32" s="497" t="s">
        <v>94</v>
      </c>
      <c r="B32" s="499" t="s">
        <v>292</v>
      </c>
      <c r="C32" s="353"/>
    </row>
    <row r="33" spans="1:3" s="504" customFormat="1" ht="12" customHeight="1" thickBot="1" x14ac:dyDescent="0.25">
      <c r="A33" s="496" t="s">
        <v>95</v>
      </c>
      <c r="B33" s="166" t="s">
        <v>293</v>
      </c>
      <c r="C33" s="101"/>
    </row>
    <row r="34" spans="1:3" s="409" customFormat="1" ht="12" customHeight="1" thickBot="1" x14ac:dyDescent="0.25">
      <c r="A34" s="230" t="s">
        <v>23</v>
      </c>
      <c r="B34" s="150" t="s">
        <v>379</v>
      </c>
      <c r="C34" s="379"/>
    </row>
    <row r="35" spans="1:3" s="409" customFormat="1" ht="12" customHeight="1" thickBot="1" x14ac:dyDescent="0.25">
      <c r="A35" s="230" t="s">
        <v>24</v>
      </c>
      <c r="B35" s="150" t="s">
        <v>411</v>
      </c>
      <c r="C35" s="400"/>
    </row>
    <row r="36" spans="1:3" s="409" customFormat="1" ht="12" customHeight="1" thickBot="1" x14ac:dyDescent="0.25">
      <c r="A36" s="223" t="s">
        <v>25</v>
      </c>
      <c r="B36" s="150" t="s">
        <v>529</v>
      </c>
      <c r="C36" s="401">
        <f>+C8+C20+C25+C26+C30+C34+C35</f>
        <v>20015084</v>
      </c>
    </row>
    <row r="37" spans="1:3" s="409" customFormat="1" ht="12" customHeight="1" thickBot="1" x14ac:dyDescent="0.25">
      <c r="A37" s="267" t="s">
        <v>26</v>
      </c>
      <c r="B37" s="150" t="s">
        <v>413</v>
      </c>
      <c r="C37" s="401">
        <f>+C38+C39+C40</f>
        <v>37362540</v>
      </c>
    </row>
    <row r="38" spans="1:3" s="409" customFormat="1" ht="12" customHeight="1" x14ac:dyDescent="0.2">
      <c r="A38" s="497" t="s">
        <v>414</v>
      </c>
      <c r="B38" s="498" t="s">
        <v>236</v>
      </c>
      <c r="C38" s="94">
        <v>1355122</v>
      </c>
    </row>
    <row r="39" spans="1:3" s="409" customFormat="1" ht="12" customHeight="1" x14ac:dyDescent="0.2">
      <c r="A39" s="497" t="s">
        <v>415</v>
      </c>
      <c r="B39" s="499" t="s">
        <v>2</v>
      </c>
      <c r="C39" s="353"/>
    </row>
    <row r="40" spans="1:3" s="504" customFormat="1" ht="12" customHeight="1" thickBot="1" x14ac:dyDescent="0.25">
      <c r="A40" s="496" t="s">
        <v>416</v>
      </c>
      <c r="B40" s="166" t="s">
        <v>417</v>
      </c>
      <c r="C40" s="101">
        <f>C57-C36-2000000+644878</f>
        <v>36007418</v>
      </c>
    </row>
    <row r="41" spans="1:3" s="504" customFormat="1" ht="15" customHeight="1" thickBot="1" x14ac:dyDescent="0.25">
      <c r="A41" s="267" t="s">
        <v>27</v>
      </c>
      <c r="B41" s="268" t="s">
        <v>418</v>
      </c>
      <c r="C41" s="404">
        <f>+C36+C37</f>
        <v>57377624</v>
      </c>
    </row>
    <row r="42" spans="1:3" s="504" customFormat="1" ht="15" customHeight="1" x14ac:dyDescent="0.2">
      <c r="A42" s="269"/>
      <c r="B42" s="270"/>
      <c r="C42" s="402"/>
    </row>
    <row r="43" spans="1:3" ht="13.5" thickBot="1" x14ac:dyDescent="0.25">
      <c r="A43" s="271"/>
      <c r="B43" s="272"/>
      <c r="C43" s="403"/>
    </row>
    <row r="44" spans="1:3" s="503" customFormat="1" ht="16.5" customHeight="1" thickBot="1" x14ac:dyDescent="0.25">
      <c r="A44" s="273"/>
      <c r="B44" s="274" t="s">
        <v>58</v>
      </c>
      <c r="C44" s="404"/>
    </row>
    <row r="45" spans="1:3" s="505" customFormat="1" ht="12" customHeight="1" thickBot="1" x14ac:dyDescent="0.25">
      <c r="A45" s="230" t="s">
        <v>18</v>
      </c>
      <c r="B45" s="150" t="s">
        <v>419</v>
      </c>
      <c r="C45" s="352">
        <f>SUM(C46:C50)</f>
        <v>56377624</v>
      </c>
    </row>
    <row r="46" spans="1:3" ht="12" customHeight="1" x14ac:dyDescent="0.2">
      <c r="A46" s="496" t="s">
        <v>100</v>
      </c>
      <c r="B46" s="9" t="s">
        <v>49</v>
      </c>
      <c r="C46" s="94">
        <f>20417120+180000-400000</f>
        <v>20197120</v>
      </c>
    </row>
    <row r="47" spans="1:3" ht="12" customHeight="1" x14ac:dyDescent="0.2">
      <c r="A47" s="496" t="s">
        <v>101</v>
      </c>
      <c r="B47" s="8" t="s">
        <v>181</v>
      </c>
      <c r="C47" s="97">
        <f>5421391+35640</f>
        <v>5457031</v>
      </c>
    </row>
    <row r="48" spans="1:3" ht="12" customHeight="1" x14ac:dyDescent="0.2">
      <c r="A48" s="496" t="s">
        <v>102</v>
      </c>
      <c r="B48" s="8" t="s">
        <v>142</v>
      </c>
      <c r="C48" s="97">
        <f>27295685-644878+872846+799820+2000000+400000</f>
        <v>30723473</v>
      </c>
    </row>
    <row r="49" spans="1:3" ht="12" customHeight="1" x14ac:dyDescent="0.2">
      <c r="A49" s="496" t="s">
        <v>103</v>
      </c>
      <c r="B49" s="8" t="s">
        <v>182</v>
      </c>
      <c r="C49" s="97"/>
    </row>
    <row r="50" spans="1:3" ht="12" customHeight="1" thickBot="1" x14ac:dyDescent="0.25">
      <c r="A50" s="496" t="s">
        <v>149</v>
      </c>
      <c r="B50" s="8" t="s">
        <v>183</v>
      </c>
      <c r="C50" s="97"/>
    </row>
    <row r="51" spans="1:3" ht="12" customHeight="1" thickBot="1" x14ac:dyDescent="0.25">
      <c r="A51" s="230" t="s">
        <v>19</v>
      </c>
      <c r="B51" s="150" t="s">
        <v>420</v>
      </c>
      <c r="C51" s="352">
        <f>SUM(C52:C54)</f>
        <v>1000000</v>
      </c>
    </row>
    <row r="52" spans="1:3" s="505" customFormat="1" ht="12" customHeight="1" x14ac:dyDescent="0.2">
      <c r="A52" s="496" t="s">
        <v>106</v>
      </c>
      <c r="B52" s="9" t="s">
        <v>226</v>
      </c>
      <c r="C52" s="94">
        <v>1000000</v>
      </c>
    </row>
    <row r="53" spans="1:3" ht="12" customHeight="1" x14ac:dyDescent="0.2">
      <c r="A53" s="496" t="s">
        <v>107</v>
      </c>
      <c r="B53" s="8" t="s">
        <v>185</v>
      </c>
      <c r="C53" s="97"/>
    </row>
    <row r="54" spans="1:3" ht="12" customHeight="1" x14ac:dyDescent="0.2">
      <c r="A54" s="496" t="s">
        <v>108</v>
      </c>
      <c r="B54" s="8" t="s">
        <v>59</v>
      </c>
      <c r="C54" s="97"/>
    </row>
    <row r="55" spans="1:3" ht="12" customHeight="1" thickBot="1" x14ac:dyDescent="0.25">
      <c r="A55" s="496" t="s">
        <v>109</v>
      </c>
      <c r="B55" s="8" t="s">
        <v>526</v>
      </c>
      <c r="C55" s="97"/>
    </row>
    <row r="56" spans="1:3" ht="15" customHeight="1" thickBot="1" x14ac:dyDescent="0.25">
      <c r="A56" s="230" t="s">
        <v>20</v>
      </c>
      <c r="B56" s="150" t="s">
        <v>12</v>
      </c>
      <c r="C56" s="379"/>
    </row>
    <row r="57" spans="1:3" ht="13.5" thickBot="1" x14ac:dyDescent="0.25">
      <c r="A57" s="230" t="s">
        <v>21</v>
      </c>
      <c r="B57" s="275" t="s">
        <v>533</v>
      </c>
      <c r="C57" s="405">
        <f>+C45+C51+C56</f>
        <v>57377624</v>
      </c>
    </row>
    <row r="58" spans="1:3" ht="15" customHeight="1" thickBot="1" x14ac:dyDescent="0.25">
      <c r="C58" s="406"/>
    </row>
    <row r="59" spans="1:3" ht="14.25" customHeight="1" thickBot="1" x14ac:dyDescent="0.25">
      <c r="A59" s="278" t="s">
        <v>521</v>
      </c>
      <c r="B59" s="279"/>
      <c r="C59" s="147"/>
    </row>
    <row r="60" spans="1:3" ht="13.5" thickBot="1" x14ac:dyDescent="0.25">
      <c r="A60" s="278" t="s">
        <v>204</v>
      </c>
      <c r="B60" s="279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8" sqref="C8:C57"/>
    </sheetView>
  </sheetViews>
  <sheetFormatPr defaultRowHeight="12.75" x14ac:dyDescent="0.2"/>
  <cols>
    <col min="1" max="1" width="13.83203125" style="276" customWidth="1"/>
    <col min="2" max="2" width="79.1640625" style="277" customWidth="1"/>
    <col min="3" max="3" width="25" style="277" customWidth="1"/>
    <col min="4" max="16384" width="9.33203125" style="277"/>
  </cols>
  <sheetData>
    <row r="1" spans="1:3" s="256" customFormat="1" ht="21" customHeight="1" thickBot="1" x14ac:dyDescent="0.25">
      <c r="A1" s="255"/>
      <c r="B1" s="257"/>
      <c r="C1" s="500" t="str">
        <f>+CONCATENATE("9.4.2. melléklet a 6/",LEFT(ÖSSZEFÜGGÉSEK!A5,4),". (III. 13.) önkormányzati rendelethez")</f>
        <v>9.4.2. melléklet a 6/2017. (III. 13.) önkormányzati rendelethez</v>
      </c>
    </row>
    <row r="2" spans="1:3" s="501" customFormat="1" ht="25.5" customHeight="1" x14ac:dyDescent="0.2">
      <c r="A2" s="451" t="s">
        <v>202</v>
      </c>
      <c r="B2" s="393" t="s">
        <v>572</v>
      </c>
      <c r="C2" s="407" t="s">
        <v>435</v>
      </c>
    </row>
    <row r="3" spans="1:3" s="501" customFormat="1" ht="24.75" thickBot="1" x14ac:dyDescent="0.25">
      <c r="A3" s="494" t="s">
        <v>201</v>
      </c>
      <c r="B3" s="394" t="s">
        <v>422</v>
      </c>
      <c r="C3" s="408" t="s">
        <v>60</v>
      </c>
    </row>
    <row r="4" spans="1:3" s="502" customFormat="1" ht="15.95" customHeight="1" thickBot="1" x14ac:dyDescent="0.3">
      <c r="A4" s="259"/>
      <c r="B4" s="259"/>
      <c r="C4" s="260" t="s">
        <v>578</v>
      </c>
    </row>
    <row r="5" spans="1:3" ht="13.5" thickBot="1" x14ac:dyDescent="0.25">
      <c r="A5" s="452" t="s">
        <v>203</v>
      </c>
      <c r="B5" s="261" t="s">
        <v>567</v>
      </c>
      <c r="C5" s="262" t="s">
        <v>56</v>
      </c>
    </row>
    <row r="6" spans="1:3" s="503" customFormat="1" ht="12.95" customHeight="1" thickBot="1" x14ac:dyDescent="0.25">
      <c r="A6" s="223"/>
      <c r="B6" s="224" t="s">
        <v>496</v>
      </c>
      <c r="C6" s="225" t="s">
        <v>497</v>
      </c>
    </row>
    <row r="7" spans="1:3" s="503" customFormat="1" ht="15.95" customHeight="1" thickBot="1" x14ac:dyDescent="0.25">
      <c r="A7" s="263"/>
      <c r="B7" s="264" t="s">
        <v>57</v>
      </c>
      <c r="C7" s="265"/>
    </row>
    <row r="8" spans="1:3" s="409" customFormat="1" ht="12" customHeight="1" thickBot="1" x14ac:dyDescent="0.25">
      <c r="A8" s="223" t="s">
        <v>18</v>
      </c>
      <c r="B8" s="266" t="s">
        <v>522</v>
      </c>
      <c r="C8" s="352">
        <f>SUM(C9:C19)</f>
        <v>1770000</v>
      </c>
    </row>
    <row r="9" spans="1:3" s="409" customFormat="1" ht="12" customHeight="1" x14ac:dyDescent="0.2">
      <c r="A9" s="495" t="s">
        <v>100</v>
      </c>
      <c r="B9" s="10" t="s">
        <v>277</v>
      </c>
      <c r="C9" s="398">
        <f>1000000+500000</f>
        <v>1500000</v>
      </c>
    </row>
    <row r="10" spans="1:3" s="409" customFormat="1" ht="12" customHeight="1" x14ac:dyDescent="0.2">
      <c r="A10" s="496" t="s">
        <v>101</v>
      </c>
      <c r="B10" s="8" t="s">
        <v>278</v>
      </c>
      <c r="C10" s="350"/>
    </row>
    <row r="11" spans="1:3" s="409" customFormat="1" ht="12" customHeight="1" x14ac:dyDescent="0.2">
      <c r="A11" s="496" t="s">
        <v>102</v>
      </c>
      <c r="B11" s="8" t="s">
        <v>279</v>
      </c>
      <c r="C11" s="350"/>
    </row>
    <row r="12" spans="1:3" s="409" customFormat="1" ht="12" customHeight="1" x14ac:dyDescent="0.2">
      <c r="A12" s="496" t="s">
        <v>103</v>
      </c>
      <c r="B12" s="8" t="s">
        <v>280</v>
      </c>
      <c r="C12" s="350"/>
    </row>
    <row r="13" spans="1:3" s="409" customFormat="1" ht="12" customHeight="1" x14ac:dyDescent="0.2">
      <c r="A13" s="496" t="s">
        <v>149</v>
      </c>
      <c r="B13" s="8" t="s">
        <v>281</v>
      </c>
      <c r="C13" s="350"/>
    </row>
    <row r="14" spans="1:3" s="409" customFormat="1" ht="12" customHeight="1" x14ac:dyDescent="0.2">
      <c r="A14" s="496" t="s">
        <v>104</v>
      </c>
      <c r="B14" s="8" t="s">
        <v>403</v>
      </c>
      <c r="C14" s="350">
        <v>270000</v>
      </c>
    </row>
    <row r="15" spans="1:3" s="409" customFormat="1" ht="12" customHeight="1" x14ac:dyDescent="0.2">
      <c r="A15" s="496" t="s">
        <v>105</v>
      </c>
      <c r="B15" s="7" t="s">
        <v>404</v>
      </c>
      <c r="C15" s="350"/>
    </row>
    <row r="16" spans="1:3" s="409" customFormat="1" ht="12" customHeight="1" x14ac:dyDescent="0.2">
      <c r="A16" s="496" t="s">
        <v>115</v>
      </c>
      <c r="B16" s="8" t="s">
        <v>284</v>
      </c>
      <c r="C16" s="399"/>
    </row>
    <row r="17" spans="1:3" s="504" customFormat="1" ht="12" customHeight="1" x14ac:dyDescent="0.2">
      <c r="A17" s="496" t="s">
        <v>116</v>
      </c>
      <c r="B17" s="8" t="s">
        <v>285</v>
      </c>
      <c r="C17" s="350"/>
    </row>
    <row r="18" spans="1:3" s="504" customFormat="1" ht="12" customHeight="1" x14ac:dyDescent="0.2">
      <c r="A18" s="496" t="s">
        <v>117</v>
      </c>
      <c r="B18" s="8" t="s">
        <v>440</v>
      </c>
      <c r="C18" s="351"/>
    </row>
    <row r="19" spans="1:3" s="504" customFormat="1" ht="12" customHeight="1" thickBot="1" x14ac:dyDescent="0.25">
      <c r="A19" s="496" t="s">
        <v>118</v>
      </c>
      <c r="B19" s="7" t="s">
        <v>286</v>
      </c>
      <c r="C19" s="351"/>
    </row>
    <row r="20" spans="1:3" s="409" customFormat="1" ht="12" customHeight="1" thickBot="1" x14ac:dyDescent="0.25">
      <c r="A20" s="223" t="s">
        <v>19</v>
      </c>
      <c r="B20" s="266" t="s">
        <v>405</v>
      </c>
      <c r="C20" s="352">
        <f>SUM(C21:C23)</f>
        <v>0</v>
      </c>
    </row>
    <row r="21" spans="1:3" s="504" customFormat="1" ht="12" customHeight="1" x14ac:dyDescent="0.2">
      <c r="A21" s="496" t="s">
        <v>106</v>
      </c>
      <c r="B21" s="9" t="s">
        <v>258</v>
      </c>
      <c r="C21" s="350"/>
    </row>
    <row r="22" spans="1:3" s="504" customFormat="1" ht="12" customHeight="1" x14ac:dyDescent="0.2">
      <c r="A22" s="496" t="s">
        <v>107</v>
      </c>
      <c r="B22" s="8" t="s">
        <v>406</v>
      </c>
      <c r="C22" s="350"/>
    </row>
    <row r="23" spans="1:3" s="504" customFormat="1" ht="12" customHeight="1" x14ac:dyDescent="0.2">
      <c r="A23" s="496" t="s">
        <v>108</v>
      </c>
      <c r="B23" s="8" t="s">
        <v>407</v>
      </c>
      <c r="C23" s="350"/>
    </row>
    <row r="24" spans="1:3" s="504" customFormat="1" ht="12" customHeight="1" thickBot="1" x14ac:dyDescent="0.25">
      <c r="A24" s="496" t="s">
        <v>109</v>
      </c>
      <c r="B24" s="8" t="s">
        <v>527</v>
      </c>
      <c r="C24" s="350"/>
    </row>
    <row r="25" spans="1:3" s="504" customFormat="1" ht="12" customHeight="1" thickBot="1" x14ac:dyDescent="0.25">
      <c r="A25" s="230" t="s">
        <v>20</v>
      </c>
      <c r="B25" s="150" t="s">
        <v>172</v>
      </c>
      <c r="C25" s="379"/>
    </row>
    <row r="26" spans="1:3" s="504" customFormat="1" ht="12" customHeight="1" thickBot="1" x14ac:dyDescent="0.25">
      <c r="A26" s="230" t="s">
        <v>21</v>
      </c>
      <c r="B26" s="150" t="s">
        <v>408</v>
      </c>
      <c r="C26" s="352">
        <f>+C27+C28</f>
        <v>0</v>
      </c>
    </row>
    <row r="27" spans="1:3" s="504" customFormat="1" ht="12" customHeight="1" x14ac:dyDescent="0.2">
      <c r="A27" s="497" t="s">
        <v>268</v>
      </c>
      <c r="B27" s="498" t="s">
        <v>406</v>
      </c>
      <c r="C27" s="94"/>
    </row>
    <row r="28" spans="1:3" s="504" customFormat="1" ht="12" customHeight="1" x14ac:dyDescent="0.2">
      <c r="A28" s="497" t="s">
        <v>269</v>
      </c>
      <c r="B28" s="499" t="s">
        <v>409</v>
      </c>
      <c r="C28" s="353"/>
    </row>
    <row r="29" spans="1:3" s="504" customFormat="1" ht="12" customHeight="1" thickBot="1" x14ac:dyDescent="0.25">
      <c r="A29" s="496" t="s">
        <v>270</v>
      </c>
      <c r="B29" s="166" t="s">
        <v>528</v>
      </c>
      <c r="C29" s="101"/>
    </row>
    <row r="30" spans="1:3" s="504" customFormat="1" ht="12" customHeight="1" thickBot="1" x14ac:dyDescent="0.25">
      <c r="A30" s="230" t="s">
        <v>22</v>
      </c>
      <c r="B30" s="150" t="s">
        <v>410</v>
      </c>
      <c r="C30" s="352">
        <f>+C31+C32+C33</f>
        <v>0</v>
      </c>
    </row>
    <row r="31" spans="1:3" s="504" customFormat="1" ht="12" customHeight="1" x14ac:dyDescent="0.2">
      <c r="A31" s="497" t="s">
        <v>93</v>
      </c>
      <c r="B31" s="498" t="s">
        <v>291</v>
      </c>
      <c r="C31" s="94"/>
    </row>
    <row r="32" spans="1:3" s="504" customFormat="1" ht="12" customHeight="1" x14ac:dyDescent="0.2">
      <c r="A32" s="497" t="s">
        <v>94</v>
      </c>
      <c r="B32" s="499" t="s">
        <v>292</v>
      </c>
      <c r="C32" s="353"/>
    </row>
    <row r="33" spans="1:3" s="504" customFormat="1" ht="12" customHeight="1" thickBot="1" x14ac:dyDescent="0.25">
      <c r="A33" s="496" t="s">
        <v>95</v>
      </c>
      <c r="B33" s="166" t="s">
        <v>293</v>
      </c>
      <c r="C33" s="101"/>
    </row>
    <row r="34" spans="1:3" s="409" customFormat="1" ht="12" customHeight="1" thickBot="1" x14ac:dyDescent="0.25">
      <c r="A34" s="230" t="s">
        <v>23</v>
      </c>
      <c r="B34" s="150" t="s">
        <v>379</v>
      </c>
      <c r="C34" s="379"/>
    </row>
    <row r="35" spans="1:3" s="409" customFormat="1" ht="12" customHeight="1" thickBot="1" x14ac:dyDescent="0.25">
      <c r="A35" s="230" t="s">
        <v>24</v>
      </c>
      <c r="B35" s="150" t="s">
        <v>411</v>
      </c>
      <c r="C35" s="400"/>
    </row>
    <row r="36" spans="1:3" s="409" customFormat="1" ht="12" customHeight="1" thickBot="1" x14ac:dyDescent="0.25">
      <c r="A36" s="223" t="s">
        <v>25</v>
      </c>
      <c r="B36" s="150" t="s">
        <v>529</v>
      </c>
      <c r="C36" s="401">
        <f>+C8+C20+C25+C26+C30+C34+C35</f>
        <v>1770000</v>
      </c>
    </row>
    <row r="37" spans="1:3" s="409" customFormat="1" ht="12" customHeight="1" thickBot="1" x14ac:dyDescent="0.25">
      <c r="A37" s="267" t="s">
        <v>26</v>
      </c>
      <c r="B37" s="150" t="s">
        <v>413</v>
      </c>
      <c r="C37" s="401">
        <f>+C38+C39+C40</f>
        <v>803428</v>
      </c>
    </row>
    <row r="38" spans="1:3" s="409" customFormat="1" ht="12" customHeight="1" x14ac:dyDescent="0.2">
      <c r="A38" s="497" t="s">
        <v>414</v>
      </c>
      <c r="B38" s="498" t="s">
        <v>236</v>
      </c>
      <c r="C38" s="94"/>
    </row>
    <row r="39" spans="1:3" s="409" customFormat="1" ht="12" customHeight="1" x14ac:dyDescent="0.2">
      <c r="A39" s="497" t="s">
        <v>415</v>
      </c>
      <c r="B39" s="499" t="s">
        <v>2</v>
      </c>
      <c r="C39" s="353">
        <v>803428</v>
      </c>
    </row>
    <row r="40" spans="1:3" s="504" customFormat="1" ht="12" customHeight="1" thickBot="1" x14ac:dyDescent="0.25">
      <c r="A40" s="496" t="s">
        <v>416</v>
      </c>
      <c r="B40" s="166" t="s">
        <v>417</v>
      </c>
      <c r="C40" s="101"/>
    </row>
    <row r="41" spans="1:3" s="504" customFormat="1" ht="15" customHeight="1" thickBot="1" x14ac:dyDescent="0.25">
      <c r="A41" s="267" t="s">
        <v>27</v>
      </c>
      <c r="B41" s="268" t="s">
        <v>418</v>
      </c>
      <c r="C41" s="404">
        <f>+C36+C37</f>
        <v>2573428</v>
      </c>
    </row>
    <row r="42" spans="1:3" s="504" customFormat="1" ht="15" customHeight="1" x14ac:dyDescent="0.2">
      <c r="A42" s="269"/>
      <c r="B42" s="270"/>
      <c r="C42" s="402"/>
    </row>
    <row r="43" spans="1:3" ht="13.5" thickBot="1" x14ac:dyDescent="0.25">
      <c r="A43" s="271"/>
      <c r="B43" s="272"/>
      <c r="C43" s="403"/>
    </row>
    <row r="44" spans="1:3" s="503" customFormat="1" ht="16.5" customHeight="1" thickBot="1" x14ac:dyDescent="0.25">
      <c r="A44" s="273"/>
      <c r="B44" s="274" t="s">
        <v>58</v>
      </c>
      <c r="C44" s="404"/>
    </row>
    <row r="45" spans="1:3" s="505" customFormat="1" ht="12" customHeight="1" thickBot="1" x14ac:dyDescent="0.25">
      <c r="A45" s="230" t="s">
        <v>18</v>
      </c>
      <c r="B45" s="150" t="s">
        <v>419</v>
      </c>
      <c r="C45" s="352">
        <f>SUM(C46:C50)</f>
        <v>2573428</v>
      </c>
    </row>
    <row r="46" spans="1:3" ht="12" customHeight="1" x14ac:dyDescent="0.2">
      <c r="A46" s="496" t="s">
        <v>100</v>
      </c>
      <c r="B46" s="9" t="s">
        <v>49</v>
      </c>
      <c r="C46" s="94"/>
    </row>
    <row r="47" spans="1:3" ht="12" customHeight="1" x14ac:dyDescent="0.2">
      <c r="A47" s="496" t="s">
        <v>101</v>
      </c>
      <c r="B47" s="8" t="s">
        <v>181</v>
      </c>
      <c r="C47" s="97"/>
    </row>
    <row r="48" spans="1:3" ht="12" customHeight="1" x14ac:dyDescent="0.2">
      <c r="A48" s="496" t="s">
        <v>102</v>
      </c>
      <c r="B48" s="8" t="s">
        <v>142</v>
      </c>
      <c r="C48" s="97">
        <f>1270000+803428-80343+500000</f>
        <v>2493085</v>
      </c>
    </row>
    <row r="49" spans="1:3" ht="12" customHeight="1" x14ac:dyDescent="0.2">
      <c r="A49" s="496" t="s">
        <v>103</v>
      </c>
      <c r="B49" s="8" t="s">
        <v>182</v>
      </c>
      <c r="C49" s="97"/>
    </row>
    <row r="50" spans="1:3" ht="12" customHeight="1" thickBot="1" x14ac:dyDescent="0.25">
      <c r="A50" s="496" t="s">
        <v>149</v>
      </c>
      <c r="B50" s="8" t="s">
        <v>183</v>
      </c>
      <c r="C50" s="97">
        <v>80343</v>
      </c>
    </row>
    <row r="51" spans="1:3" ht="12" customHeight="1" thickBot="1" x14ac:dyDescent="0.25">
      <c r="A51" s="230" t="s">
        <v>19</v>
      </c>
      <c r="B51" s="150" t="s">
        <v>420</v>
      </c>
      <c r="C51" s="352">
        <f>SUM(C52:C54)</f>
        <v>0</v>
      </c>
    </row>
    <row r="52" spans="1:3" s="505" customFormat="1" ht="12" customHeight="1" x14ac:dyDescent="0.2">
      <c r="A52" s="496" t="s">
        <v>106</v>
      </c>
      <c r="B52" s="9" t="s">
        <v>226</v>
      </c>
      <c r="C52" s="94"/>
    </row>
    <row r="53" spans="1:3" ht="12" customHeight="1" x14ac:dyDescent="0.2">
      <c r="A53" s="496" t="s">
        <v>107</v>
      </c>
      <c r="B53" s="8" t="s">
        <v>185</v>
      </c>
      <c r="C53" s="97"/>
    </row>
    <row r="54" spans="1:3" ht="12" customHeight="1" x14ac:dyDescent="0.2">
      <c r="A54" s="496" t="s">
        <v>108</v>
      </c>
      <c r="B54" s="8" t="s">
        <v>59</v>
      </c>
      <c r="C54" s="97"/>
    </row>
    <row r="55" spans="1:3" ht="12" customHeight="1" thickBot="1" x14ac:dyDescent="0.25">
      <c r="A55" s="496" t="s">
        <v>109</v>
      </c>
      <c r="B55" s="8" t="s">
        <v>526</v>
      </c>
      <c r="C55" s="97"/>
    </row>
    <row r="56" spans="1:3" ht="15" customHeight="1" thickBot="1" x14ac:dyDescent="0.25">
      <c r="A56" s="230" t="s">
        <v>20</v>
      </c>
      <c r="B56" s="150" t="s">
        <v>12</v>
      </c>
      <c r="C56" s="379"/>
    </row>
    <row r="57" spans="1:3" ht="13.5" thickBot="1" x14ac:dyDescent="0.25">
      <c r="A57" s="230" t="s">
        <v>21</v>
      </c>
      <c r="B57" s="275" t="s">
        <v>533</v>
      </c>
      <c r="C57" s="405">
        <f>+C45+C51+C56</f>
        <v>2573428</v>
      </c>
    </row>
    <row r="58" spans="1:3" ht="15" customHeight="1" thickBot="1" x14ac:dyDescent="0.25">
      <c r="C58" s="406"/>
    </row>
    <row r="59" spans="1:3" ht="14.25" customHeight="1" thickBot="1" x14ac:dyDescent="0.25">
      <c r="A59" s="278" t="s">
        <v>521</v>
      </c>
      <c r="B59" s="279"/>
      <c r="C59" s="147"/>
    </row>
    <row r="60" spans="1:3" ht="13.5" thickBot="1" x14ac:dyDescent="0.25">
      <c r="A60" s="278" t="s">
        <v>204</v>
      </c>
      <c r="B60" s="279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59"/>
  <sheetViews>
    <sheetView view="pageLayout" topLeftCell="A88" zoomScaleNormal="130" zoomScaleSheetLayoutView="100" workbookViewId="0">
      <selection activeCell="C93" sqref="C93:C154"/>
    </sheetView>
  </sheetViews>
  <sheetFormatPr defaultRowHeight="15.75" x14ac:dyDescent="0.25"/>
  <cols>
    <col min="1" max="1" width="9.5" style="424" customWidth="1"/>
    <col min="2" max="2" width="91.6640625" style="424" customWidth="1"/>
    <col min="3" max="3" width="21.6640625" style="425" customWidth="1"/>
    <col min="4" max="4" width="9" style="458" customWidth="1"/>
    <col min="5" max="16384" width="9.33203125" style="458"/>
  </cols>
  <sheetData>
    <row r="1" spans="1:3" ht="15.95" customHeight="1" x14ac:dyDescent="0.25">
      <c r="A1" s="670" t="s">
        <v>15</v>
      </c>
      <c r="B1" s="670"/>
      <c r="C1" s="670"/>
    </row>
    <row r="2" spans="1:3" ht="15.95" customHeight="1" thickBot="1" x14ac:dyDescent="0.3">
      <c r="A2" s="671" t="s">
        <v>153</v>
      </c>
      <c r="B2" s="671"/>
      <c r="C2" s="342" t="s">
        <v>579</v>
      </c>
    </row>
    <row r="3" spans="1:3" ht="38.1" customHeight="1" thickBot="1" x14ac:dyDescent="0.3">
      <c r="A3" s="23" t="s">
        <v>71</v>
      </c>
      <c r="B3" s="24" t="s">
        <v>17</v>
      </c>
      <c r="C3" s="44" t="str">
        <f>+CONCATENATE(LEFT(ÖSSZEFÜGGÉSEK!A5,4),". évi előirányzat")</f>
        <v>2017. évi előirányzat</v>
      </c>
    </row>
    <row r="4" spans="1:3" s="459" customFormat="1" ht="12" customHeight="1" thickBot="1" x14ac:dyDescent="0.25">
      <c r="A4" s="453"/>
      <c r="B4" s="454" t="s">
        <v>496</v>
      </c>
      <c r="C4" s="455" t="s">
        <v>497</v>
      </c>
    </row>
    <row r="5" spans="1:3" s="460" customFormat="1" ht="12" customHeight="1" thickBot="1" x14ac:dyDescent="0.25">
      <c r="A5" s="20" t="s">
        <v>18</v>
      </c>
      <c r="B5" s="21" t="s">
        <v>252</v>
      </c>
      <c r="C5" s="332">
        <f>+C6+C7+C8+C9+C10+C11</f>
        <v>518175431</v>
      </c>
    </row>
    <row r="6" spans="1:3" s="460" customFormat="1" ht="12" customHeight="1" x14ac:dyDescent="0.2">
      <c r="A6" s="15" t="s">
        <v>100</v>
      </c>
      <c r="B6" s="461" t="s">
        <v>253</v>
      </c>
      <c r="C6" s="335">
        <f>'9.1.1. sz. mell ÖNK'!C9</f>
        <v>198486000</v>
      </c>
    </row>
    <row r="7" spans="1:3" s="460" customFormat="1" ht="12" customHeight="1" x14ac:dyDescent="0.2">
      <c r="A7" s="14" t="s">
        <v>101</v>
      </c>
      <c r="B7" s="462" t="s">
        <v>254</v>
      </c>
      <c r="C7" s="335">
        <f>'9.1.1. sz. mell ÖNK'!C10</f>
        <v>102967135</v>
      </c>
    </row>
    <row r="8" spans="1:3" s="460" customFormat="1" ht="12" customHeight="1" x14ac:dyDescent="0.2">
      <c r="A8" s="14" t="s">
        <v>102</v>
      </c>
      <c r="B8" s="462" t="s">
        <v>554</v>
      </c>
      <c r="C8" s="335">
        <f>'9.1.1. sz. mell ÖNK'!C11</f>
        <v>181251535</v>
      </c>
    </row>
    <row r="9" spans="1:3" s="460" customFormat="1" ht="12" customHeight="1" x14ac:dyDescent="0.2">
      <c r="A9" s="14" t="s">
        <v>103</v>
      </c>
      <c r="B9" s="462" t="s">
        <v>256</v>
      </c>
      <c r="C9" s="335">
        <f>'9.1.1. sz. mell ÖNK'!C12</f>
        <v>7966320</v>
      </c>
    </row>
    <row r="10" spans="1:3" s="460" customFormat="1" ht="12" customHeight="1" x14ac:dyDescent="0.2">
      <c r="A10" s="14" t="s">
        <v>149</v>
      </c>
      <c r="B10" s="328" t="s">
        <v>436</v>
      </c>
      <c r="C10" s="335">
        <f>'9.1.1. sz. mell ÖNK'!C13</f>
        <v>27504441</v>
      </c>
    </row>
    <row r="11" spans="1:3" s="460" customFormat="1" ht="12" customHeight="1" thickBot="1" x14ac:dyDescent="0.25">
      <c r="A11" s="16" t="s">
        <v>104</v>
      </c>
      <c r="B11" s="329" t="s">
        <v>437</v>
      </c>
      <c r="C11" s="335">
        <f>'9.1.1. sz. mell ÖNK'!C14</f>
        <v>0</v>
      </c>
    </row>
    <row r="12" spans="1:3" s="460" customFormat="1" ht="12" customHeight="1" thickBot="1" x14ac:dyDescent="0.25">
      <c r="A12" s="20" t="s">
        <v>19</v>
      </c>
      <c r="B12" s="327" t="s">
        <v>257</v>
      </c>
      <c r="C12" s="332">
        <f>+C13+C14+C15+C16+C17</f>
        <v>510771741</v>
      </c>
    </row>
    <row r="13" spans="1:3" s="460" customFormat="1" ht="12" customHeight="1" x14ac:dyDescent="0.2">
      <c r="A13" s="15" t="s">
        <v>106</v>
      </c>
      <c r="B13" s="461" t="s">
        <v>258</v>
      </c>
      <c r="C13" s="335">
        <f>'9.1.1. sz. mell ÖNK'!C16</f>
        <v>0</v>
      </c>
    </row>
    <row r="14" spans="1:3" s="460" customFormat="1" ht="12" customHeight="1" x14ac:dyDescent="0.2">
      <c r="A14" s="14" t="s">
        <v>107</v>
      </c>
      <c r="B14" s="462" t="s">
        <v>259</v>
      </c>
      <c r="C14" s="335">
        <f>'9.1.1. sz. mell ÖNK'!C17</f>
        <v>0</v>
      </c>
    </row>
    <row r="15" spans="1:3" s="460" customFormat="1" ht="12" customHeight="1" x14ac:dyDescent="0.2">
      <c r="A15" s="14" t="s">
        <v>108</v>
      </c>
      <c r="B15" s="462" t="s">
        <v>426</v>
      </c>
      <c r="C15" s="335">
        <f>'9.1.1. sz. mell ÖNK'!C18</f>
        <v>0</v>
      </c>
    </row>
    <row r="16" spans="1:3" s="460" customFormat="1" ht="12" customHeight="1" x14ac:dyDescent="0.2">
      <c r="A16" s="14" t="s">
        <v>109</v>
      </c>
      <c r="B16" s="462" t="s">
        <v>427</v>
      </c>
      <c r="C16" s="335">
        <f>'9.1.1. sz. mell ÖNK'!C19</f>
        <v>0</v>
      </c>
    </row>
    <row r="17" spans="1:3" s="460" customFormat="1" ht="12" customHeight="1" x14ac:dyDescent="0.2">
      <c r="A17" s="14" t="s">
        <v>110</v>
      </c>
      <c r="B17" s="462" t="s">
        <v>260</v>
      </c>
      <c r="C17" s="335">
        <f>'9.1.1. sz. mell ÖNK'!C20</f>
        <v>510771741</v>
      </c>
    </row>
    <row r="18" spans="1:3" s="460" customFormat="1" ht="12" customHeight="1" thickBot="1" x14ac:dyDescent="0.25">
      <c r="A18" s="16" t="s">
        <v>119</v>
      </c>
      <c r="B18" s="329" t="s">
        <v>261</v>
      </c>
      <c r="C18" s="335">
        <f>'9.1.1. sz. mell ÖNK'!C21</f>
        <v>46082295</v>
      </c>
    </row>
    <row r="19" spans="1:3" s="460" customFormat="1" ht="12" customHeight="1" thickBot="1" x14ac:dyDescent="0.25">
      <c r="A19" s="20" t="s">
        <v>20</v>
      </c>
      <c r="B19" s="21" t="s">
        <v>262</v>
      </c>
      <c r="C19" s="332">
        <f>+C20+C21+C22+C23+C24</f>
        <v>445842552</v>
      </c>
    </row>
    <row r="20" spans="1:3" s="460" customFormat="1" ht="12" customHeight="1" x14ac:dyDescent="0.2">
      <c r="A20" s="15" t="s">
        <v>89</v>
      </c>
      <c r="B20" s="461" t="s">
        <v>263</v>
      </c>
      <c r="C20" s="335">
        <f>'9.1.1. sz. mell ÖNK'!C23</f>
        <v>0</v>
      </c>
    </row>
    <row r="21" spans="1:3" s="460" customFormat="1" ht="12" customHeight="1" x14ac:dyDescent="0.2">
      <c r="A21" s="14" t="s">
        <v>90</v>
      </c>
      <c r="B21" s="462" t="s">
        <v>264</v>
      </c>
      <c r="C21" s="335">
        <f>'9.1.1. sz. mell ÖNK'!C24</f>
        <v>0</v>
      </c>
    </row>
    <row r="22" spans="1:3" s="460" customFormat="1" ht="12" customHeight="1" x14ac:dyDescent="0.2">
      <c r="A22" s="14" t="s">
        <v>91</v>
      </c>
      <c r="B22" s="462" t="s">
        <v>428</v>
      </c>
      <c r="C22" s="335">
        <f>'9.1.1. sz. mell ÖNK'!C25</f>
        <v>0</v>
      </c>
    </row>
    <row r="23" spans="1:3" s="460" customFormat="1" ht="12" customHeight="1" x14ac:dyDescent="0.2">
      <c r="A23" s="14" t="s">
        <v>92</v>
      </c>
      <c r="B23" s="462" t="s">
        <v>429</v>
      </c>
      <c r="C23" s="335">
        <f>'9.1.1. sz. mell ÖNK'!C26</f>
        <v>0</v>
      </c>
    </row>
    <row r="24" spans="1:3" s="460" customFormat="1" ht="12" customHeight="1" x14ac:dyDescent="0.2">
      <c r="A24" s="14" t="s">
        <v>169</v>
      </c>
      <c r="B24" s="462" t="s">
        <v>265</v>
      </c>
      <c r="C24" s="335">
        <f>'9.1.1. sz. mell ÖNK'!C27</f>
        <v>445842552</v>
      </c>
    </row>
    <row r="25" spans="1:3" s="460" customFormat="1" ht="12" customHeight="1" thickBot="1" x14ac:dyDescent="0.25">
      <c r="A25" s="16" t="s">
        <v>170</v>
      </c>
      <c r="B25" s="463" t="s">
        <v>266</v>
      </c>
      <c r="C25" s="335">
        <f>'9.1.1. sz. mell ÖNK'!C28</f>
        <v>129589139</v>
      </c>
    </row>
    <row r="26" spans="1:3" s="460" customFormat="1" ht="12" customHeight="1" thickBot="1" x14ac:dyDescent="0.25">
      <c r="A26" s="20" t="s">
        <v>171</v>
      </c>
      <c r="B26" s="21" t="s">
        <v>564</v>
      </c>
      <c r="C26" s="338">
        <f>SUM(C27:C33)+'9.2.1. sz. mell HIV'!C25</f>
        <v>100608000</v>
      </c>
    </row>
    <row r="27" spans="1:3" s="460" customFormat="1" ht="12" customHeight="1" x14ac:dyDescent="0.2">
      <c r="A27" s="15" t="s">
        <v>268</v>
      </c>
      <c r="B27" s="461" t="s">
        <v>559</v>
      </c>
      <c r="C27" s="335">
        <f>'9.1.1. sz. mell ÖNK'!C30</f>
        <v>13000000</v>
      </c>
    </row>
    <row r="28" spans="1:3" s="460" customFormat="1" ht="12" customHeight="1" x14ac:dyDescent="0.2">
      <c r="A28" s="14" t="s">
        <v>269</v>
      </c>
      <c r="B28" s="462" t="s">
        <v>560</v>
      </c>
      <c r="C28" s="335">
        <f>'9.1.1. sz. mell ÖNK'!C31</f>
        <v>15000</v>
      </c>
    </row>
    <row r="29" spans="1:3" s="460" customFormat="1" ht="12" customHeight="1" x14ac:dyDescent="0.2">
      <c r="A29" s="14" t="s">
        <v>270</v>
      </c>
      <c r="B29" s="462" t="s">
        <v>561</v>
      </c>
      <c r="C29" s="335">
        <f>'9.1.1. sz. mell ÖNK'!C32</f>
        <v>71000000</v>
      </c>
    </row>
    <row r="30" spans="1:3" s="460" customFormat="1" ht="12" customHeight="1" x14ac:dyDescent="0.2">
      <c r="A30" s="14" t="s">
        <v>271</v>
      </c>
      <c r="B30" s="462" t="s">
        <v>562</v>
      </c>
      <c r="C30" s="335">
        <f>'9.1.1. sz. mell ÖNK'!C33</f>
        <v>40000</v>
      </c>
    </row>
    <row r="31" spans="1:3" s="460" customFormat="1" ht="12" customHeight="1" x14ac:dyDescent="0.2">
      <c r="A31" s="14" t="s">
        <v>556</v>
      </c>
      <c r="B31" s="462" t="s">
        <v>272</v>
      </c>
      <c r="C31" s="335">
        <f>'9.1.1. sz. mell ÖNK'!C34</f>
        <v>13500000</v>
      </c>
    </row>
    <row r="32" spans="1:3" s="460" customFormat="1" ht="12" customHeight="1" x14ac:dyDescent="0.2">
      <c r="A32" s="14" t="s">
        <v>557</v>
      </c>
      <c r="B32" s="462" t="s">
        <v>273</v>
      </c>
      <c r="C32" s="335">
        <f>'9.1.1. sz. mell ÖNK'!C35</f>
        <v>0</v>
      </c>
    </row>
    <row r="33" spans="1:3" s="460" customFormat="1" ht="12" customHeight="1" thickBot="1" x14ac:dyDescent="0.25">
      <c r="A33" s="16" t="s">
        <v>558</v>
      </c>
      <c r="B33" s="566" t="s">
        <v>274</v>
      </c>
      <c r="C33" s="335">
        <f>'9.1.1. sz. mell ÖNK'!C36</f>
        <v>3003000</v>
      </c>
    </row>
    <row r="34" spans="1:3" s="460" customFormat="1" ht="12" customHeight="1" thickBot="1" x14ac:dyDescent="0.25">
      <c r="A34" s="20" t="s">
        <v>22</v>
      </c>
      <c r="B34" s="21" t="s">
        <v>438</v>
      </c>
      <c r="C34" s="332">
        <f>SUM(C35:C45)</f>
        <v>94509300</v>
      </c>
    </row>
    <row r="35" spans="1:3" s="460" customFormat="1" ht="12" customHeight="1" x14ac:dyDescent="0.2">
      <c r="A35" s="15" t="s">
        <v>93</v>
      </c>
      <c r="B35" s="461" t="s">
        <v>277</v>
      </c>
      <c r="C35" s="335">
        <f>'9.1.1. sz. mell ÖNK'!C38+'9.2.1. sz. mell HIV'!C9+'9.3.1. sz. mell GAM'!C9+'9.4.1. sz. mell ILMKS'!C9+'9.5.1. sz. mell OVI'!C9</f>
        <v>1015000</v>
      </c>
    </row>
    <row r="36" spans="1:3" s="460" customFormat="1" ht="12" customHeight="1" x14ac:dyDescent="0.2">
      <c r="A36" s="14" t="s">
        <v>94</v>
      </c>
      <c r="B36" s="462" t="s">
        <v>278</v>
      </c>
      <c r="C36" s="335">
        <f>'9.1.1. sz. mell ÖNK'!C39+'9.2.1. sz. mell HIV'!C10+'9.3.1. sz. mell GAM'!C10+'9.4.1. sz. mell ILMKS'!C10+'9.5.1. sz. mell OVI'!C10</f>
        <v>40924084</v>
      </c>
    </row>
    <row r="37" spans="1:3" s="460" customFormat="1" ht="12" customHeight="1" x14ac:dyDescent="0.2">
      <c r="A37" s="14" t="s">
        <v>95</v>
      </c>
      <c r="B37" s="462" t="s">
        <v>279</v>
      </c>
      <c r="C37" s="335">
        <f>'9.1.1. sz. mell ÖNK'!C40+'9.2.1. sz. mell HIV'!C11+'9.3.1. sz. mell GAM'!C11+'9.4.1. sz. mell ILMKS'!C11+'9.5.1. sz. mell OVI'!C11</f>
        <v>2247509</v>
      </c>
    </row>
    <row r="38" spans="1:3" s="460" customFormat="1" ht="12" customHeight="1" x14ac:dyDescent="0.2">
      <c r="A38" s="14" t="s">
        <v>173</v>
      </c>
      <c r="B38" s="462" t="s">
        <v>280</v>
      </c>
      <c r="C38" s="335">
        <f>'9.1.1. sz. mell ÖNK'!C41+'9.2.1. sz. mell HIV'!C12+'9.3.1. sz. mell GAM'!C12+'9.4.1. sz. mell ILMKS'!C12+'9.5.1. sz. mell OVI'!C12</f>
        <v>3500000</v>
      </c>
    </row>
    <row r="39" spans="1:3" s="460" customFormat="1" ht="12" customHeight="1" x14ac:dyDescent="0.2">
      <c r="A39" s="14" t="s">
        <v>174</v>
      </c>
      <c r="B39" s="462" t="s">
        <v>281</v>
      </c>
      <c r="C39" s="335">
        <f>'9.1.1. sz. mell ÖNK'!C42+'9.2.1. sz. mell HIV'!C13+'9.3.1. sz. mell GAM'!C13+'9.4.1. sz. mell ILMKS'!C13+'9.5.1. sz. mell OVI'!C13</f>
        <v>27000876</v>
      </c>
    </row>
    <row r="40" spans="1:3" s="460" customFormat="1" ht="12" customHeight="1" x14ac:dyDescent="0.2">
      <c r="A40" s="14" t="s">
        <v>175</v>
      </c>
      <c r="B40" s="462" t="s">
        <v>282</v>
      </c>
      <c r="C40" s="335">
        <f>'9.1.1. sz. mell ÖNK'!C43+'9.2.1. sz. mell HIV'!C14+'9.3.1. sz. mell GAM'!C14+'9.4.1. sz. mell ILMKS'!C14+'9.5.1. sz. mell OVI'!C14</f>
        <v>19793443</v>
      </c>
    </row>
    <row r="41" spans="1:3" s="460" customFormat="1" ht="12" customHeight="1" x14ac:dyDescent="0.2">
      <c r="A41" s="14" t="s">
        <v>176</v>
      </c>
      <c r="B41" s="462" t="s">
        <v>283</v>
      </c>
      <c r="C41" s="335">
        <f>'9.1.1. sz. mell ÖNK'!C44+'9.2.1. sz. mell HIV'!C15+'9.3.1. sz. mell GAM'!C15+'9.4.1. sz. mell ILMKS'!C15+'9.5.1. sz. mell OVI'!C15</f>
        <v>0</v>
      </c>
    </row>
    <row r="42" spans="1:3" s="460" customFormat="1" ht="12" customHeight="1" x14ac:dyDescent="0.2">
      <c r="A42" s="14" t="s">
        <v>177</v>
      </c>
      <c r="B42" s="462" t="s">
        <v>563</v>
      </c>
      <c r="C42" s="335">
        <f>'9.1.1. sz. mell ÖNK'!C45+'9.2.1. sz. mell HIV'!C16+'9.3.1. sz. mell GAM'!C16+'9.4.1. sz. mell ILMKS'!C16+'9.5.1. sz. mell OVI'!C16</f>
        <v>100</v>
      </c>
    </row>
    <row r="43" spans="1:3" s="460" customFormat="1" ht="12" customHeight="1" x14ac:dyDescent="0.2">
      <c r="A43" s="14" t="s">
        <v>275</v>
      </c>
      <c r="B43" s="462" t="s">
        <v>285</v>
      </c>
      <c r="C43" s="335">
        <f>'9.1.1. sz. mell ÖNK'!C46+'9.2.1. sz. mell HIV'!C17+'9.3.1. sz. mell GAM'!C17+'9.4.1. sz. mell ILMKS'!C17+'9.5.1. sz. mell OVI'!C17</f>
        <v>0</v>
      </c>
    </row>
    <row r="44" spans="1:3" s="460" customFormat="1" ht="12" customHeight="1" x14ac:dyDescent="0.2">
      <c r="A44" s="16" t="s">
        <v>276</v>
      </c>
      <c r="B44" s="463" t="s">
        <v>440</v>
      </c>
      <c r="C44" s="335">
        <f>'9.1.1. sz. mell ÖNK'!C47+'9.2.1. sz. mell HIV'!C18+'9.3.1. sz. mell GAM'!C18+'9.4.1. sz. mell ILMKS'!C18+'9.5.1. sz. mell OVI'!C18</f>
        <v>0</v>
      </c>
    </row>
    <row r="45" spans="1:3" s="460" customFormat="1" ht="12" customHeight="1" thickBot="1" x14ac:dyDescent="0.25">
      <c r="A45" s="16" t="s">
        <v>439</v>
      </c>
      <c r="B45" s="329" t="s">
        <v>286</v>
      </c>
      <c r="C45" s="335">
        <f>'9.1.1. sz. mell ÖNK'!C48+'9.2.1. sz. mell HIV'!C19+'9.3.1. sz. mell GAM'!C19+'9.4.1. sz. mell ILMKS'!C19+'9.5.1. sz. mell OVI'!C19</f>
        <v>28288</v>
      </c>
    </row>
    <row r="46" spans="1:3" s="460" customFormat="1" ht="12" customHeight="1" thickBot="1" x14ac:dyDescent="0.25">
      <c r="A46" s="20" t="s">
        <v>23</v>
      </c>
      <c r="B46" s="21" t="s">
        <v>287</v>
      </c>
      <c r="C46" s="332">
        <f>SUM(C47:C51)</f>
        <v>34300110</v>
      </c>
    </row>
    <row r="47" spans="1:3" s="460" customFormat="1" ht="12" customHeight="1" x14ac:dyDescent="0.2">
      <c r="A47" s="15" t="s">
        <v>96</v>
      </c>
      <c r="B47" s="461" t="s">
        <v>291</v>
      </c>
      <c r="C47" s="506">
        <f>'9.1.1. sz. mell ÖNK'!C50+'9.2.1. sz. mell HIV'!C32+'9.3.1. sz. mell GAM'!C31+'9.4.1. sz. mell ILMKS'!C31+'9.5.1. sz. mell OVI'!C31</f>
        <v>0</v>
      </c>
    </row>
    <row r="48" spans="1:3" s="460" customFormat="1" ht="12" customHeight="1" x14ac:dyDescent="0.2">
      <c r="A48" s="14" t="s">
        <v>97</v>
      </c>
      <c r="B48" s="462" t="s">
        <v>292</v>
      </c>
      <c r="C48" s="506">
        <f>'9.1.1. sz. mell ÖNK'!C51+'9.2.1. sz. mell HIV'!C33+'9.3.1. sz. mell GAM'!C32+'9.4.1. sz. mell ILMKS'!C32+'9.5.1. sz. mell OVI'!C32</f>
        <v>34182000</v>
      </c>
    </row>
    <row r="49" spans="1:3" s="460" customFormat="1" ht="12" customHeight="1" x14ac:dyDescent="0.2">
      <c r="A49" s="14" t="s">
        <v>288</v>
      </c>
      <c r="B49" s="462" t="s">
        <v>293</v>
      </c>
      <c r="C49" s="506">
        <f>'9.1.1. sz. mell ÖNK'!C52+'9.2.1. sz. mell HIV'!C34+'9.3.1. sz. mell GAM'!C33+'9.4.1. sz. mell ILMKS'!C33+'9.5.1. sz. mell OVI'!C33</f>
        <v>118110</v>
      </c>
    </row>
    <row r="50" spans="1:3" s="460" customFormat="1" ht="12" customHeight="1" x14ac:dyDescent="0.2">
      <c r="A50" s="14" t="s">
        <v>289</v>
      </c>
      <c r="B50" s="462" t="s">
        <v>294</v>
      </c>
      <c r="C50" s="337"/>
    </row>
    <row r="51" spans="1:3" s="460" customFormat="1" ht="12" customHeight="1" thickBot="1" x14ac:dyDescent="0.25">
      <c r="A51" s="16" t="s">
        <v>290</v>
      </c>
      <c r="B51" s="329" t="s">
        <v>295</v>
      </c>
      <c r="C51" s="447"/>
    </row>
    <row r="52" spans="1:3" s="460" customFormat="1" ht="12" customHeight="1" thickBot="1" x14ac:dyDescent="0.25">
      <c r="A52" s="20" t="s">
        <v>178</v>
      </c>
      <c r="B52" s="21" t="s">
        <v>296</v>
      </c>
      <c r="C52" s="332">
        <f>SUM(C53:C55)</f>
        <v>0</v>
      </c>
    </row>
    <row r="53" spans="1:3" s="460" customFormat="1" ht="12" customHeight="1" x14ac:dyDescent="0.2">
      <c r="A53" s="15" t="s">
        <v>98</v>
      </c>
      <c r="B53" s="461" t="s">
        <v>297</v>
      </c>
      <c r="C53" s="335">
        <f>'9.1.1. sz. mell ÖNK'!C56</f>
        <v>0</v>
      </c>
    </row>
    <row r="54" spans="1:3" s="460" customFormat="1" ht="12" customHeight="1" x14ac:dyDescent="0.2">
      <c r="A54" s="14" t="s">
        <v>99</v>
      </c>
      <c r="B54" s="462" t="s">
        <v>430</v>
      </c>
      <c r="C54" s="335">
        <f>'9.1.1. sz. mell ÖNK'!C57</f>
        <v>0</v>
      </c>
    </row>
    <row r="55" spans="1:3" s="460" customFormat="1" ht="12" customHeight="1" x14ac:dyDescent="0.2">
      <c r="A55" s="14" t="s">
        <v>300</v>
      </c>
      <c r="B55" s="462" t="s">
        <v>298</v>
      </c>
      <c r="C55" s="335">
        <f>'9.1.1. sz. mell ÖNK'!C58</f>
        <v>0</v>
      </c>
    </row>
    <row r="56" spans="1:3" s="460" customFormat="1" ht="12" customHeight="1" thickBot="1" x14ac:dyDescent="0.25">
      <c r="A56" s="16" t="s">
        <v>301</v>
      </c>
      <c r="B56" s="329" t="s">
        <v>299</v>
      </c>
      <c r="C56" s="335">
        <f>'9.1.1. sz. mell ÖNK'!C59</f>
        <v>0</v>
      </c>
    </row>
    <row r="57" spans="1:3" s="460" customFormat="1" ht="12" customHeight="1" thickBot="1" x14ac:dyDescent="0.25">
      <c r="A57" s="20" t="s">
        <v>25</v>
      </c>
      <c r="B57" s="327" t="s">
        <v>302</v>
      </c>
      <c r="C57" s="332">
        <f>SUM(C58:C60)</f>
        <v>810000</v>
      </c>
    </row>
    <row r="58" spans="1:3" s="460" customFormat="1" ht="12" customHeight="1" x14ac:dyDescent="0.2">
      <c r="A58" s="15" t="s">
        <v>179</v>
      </c>
      <c r="B58" s="461" t="s">
        <v>304</v>
      </c>
      <c r="C58" s="337">
        <f>'9.1.1. sz. mell ÖNK'!C61</f>
        <v>0</v>
      </c>
    </row>
    <row r="59" spans="1:3" s="460" customFormat="1" ht="12" customHeight="1" x14ac:dyDescent="0.2">
      <c r="A59" s="14" t="s">
        <v>180</v>
      </c>
      <c r="B59" s="462" t="s">
        <v>431</v>
      </c>
      <c r="C59" s="337">
        <f>'9.1.1. sz. mell ÖNK'!C62</f>
        <v>810000</v>
      </c>
    </row>
    <row r="60" spans="1:3" s="460" customFormat="1" ht="12" customHeight="1" x14ac:dyDescent="0.2">
      <c r="A60" s="14" t="s">
        <v>228</v>
      </c>
      <c r="B60" s="462" t="s">
        <v>305</v>
      </c>
      <c r="C60" s="337">
        <f>'9.1.1. sz. mell ÖNK'!C63</f>
        <v>0</v>
      </c>
    </row>
    <row r="61" spans="1:3" s="460" customFormat="1" ht="12" customHeight="1" thickBot="1" x14ac:dyDescent="0.25">
      <c r="A61" s="16" t="s">
        <v>303</v>
      </c>
      <c r="B61" s="329" t="s">
        <v>306</v>
      </c>
      <c r="C61" s="337">
        <f>'9.1.1. sz. mell ÖNK'!C64</f>
        <v>0</v>
      </c>
    </row>
    <row r="62" spans="1:3" s="460" customFormat="1" ht="12" customHeight="1" thickBot="1" x14ac:dyDescent="0.25">
      <c r="A62" s="538" t="s">
        <v>480</v>
      </c>
      <c r="B62" s="21" t="s">
        <v>307</v>
      </c>
      <c r="C62" s="338">
        <f>+C5+C12+C19+C26+C34+C46+C52+C57</f>
        <v>1705017134</v>
      </c>
    </row>
    <row r="63" spans="1:3" s="460" customFormat="1" ht="12" customHeight="1" thickBot="1" x14ac:dyDescent="0.25">
      <c r="A63" s="509" t="s">
        <v>308</v>
      </c>
      <c r="B63" s="327" t="s">
        <v>309</v>
      </c>
      <c r="C63" s="332">
        <f>SUM(C64:C66)</f>
        <v>29896000</v>
      </c>
    </row>
    <row r="64" spans="1:3" s="460" customFormat="1" ht="12" customHeight="1" x14ac:dyDescent="0.2">
      <c r="A64" s="15" t="s">
        <v>340</v>
      </c>
      <c r="B64" s="461" t="s">
        <v>310</v>
      </c>
      <c r="C64" s="337">
        <f>'9.1.1. sz. mell ÖNK'!C67</f>
        <v>29896000</v>
      </c>
    </row>
    <row r="65" spans="1:3" s="460" customFormat="1" ht="12" customHeight="1" x14ac:dyDescent="0.2">
      <c r="A65" s="14" t="s">
        <v>349</v>
      </c>
      <c r="B65" s="462" t="s">
        <v>311</v>
      </c>
      <c r="C65" s="337">
        <f>'9.1.1. sz. mell ÖNK'!C68</f>
        <v>0</v>
      </c>
    </row>
    <row r="66" spans="1:3" s="460" customFormat="1" ht="12" customHeight="1" thickBot="1" x14ac:dyDescent="0.25">
      <c r="A66" s="16" t="s">
        <v>350</v>
      </c>
      <c r="B66" s="532" t="s">
        <v>465</v>
      </c>
      <c r="C66" s="337">
        <f>'9.1.1. sz. mell ÖNK'!C69</f>
        <v>0</v>
      </c>
    </row>
    <row r="67" spans="1:3" s="460" customFormat="1" ht="12" customHeight="1" thickBot="1" x14ac:dyDescent="0.25">
      <c r="A67" s="509" t="s">
        <v>313</v>
      </c>
      <c r="B67" s="327" t="s">
        <v>314</v>
      </c>
      <c r="C67" s="332">
        <f>SUM(C68:C71)</f>
        <v>0</v>
      </c>
    </row>
    <row r="68" spans="1:3" s="460" customFormat="1" ht="12" customHeight="1" x14ac:dyDescent="0.2">
      <c r="A68" s="15" t="s">
        <v>150</v>
      </c>
      <c r="B68" s="461" t="s">
        <v>315</v>
      </c>
      <c r="C68" s="337">
        <f>'9.1.1. sz. mell ÖNK'!C71</f>
        <v>0</v>
      </c>
    </row>
    <row r="69" spans="1:3" s="460" customFormat="1" ht="12" customHeight="1" x14ac:dyDescent="0.2">
      <c r="A69" s="14" t="s">
        <v>151</v>
      </c>
      <c r="B69" s="462" t="s">
        <v>316</v>
      </c>
      <c r="C69" s="337">
        <f>'9.1.1. sz. mell ÖNK'!C72</f>
        <v>0</v>
      </c>
    </row>
    <row r="70" spans="1:3" s="460" customFormat="1" ht="12" customHeight="1" x14ac:dyDescent="0.2">
      <c r="A70" s="14" t="s">
        <v>341</v>
      </c>
      <c r="B70" s="462" t="s">
        <v>317</v>
      </c>
      <c r="C70" s="337">
        <f>'9.1.1. sz. mell ÖNK'!C73</f>
        <v>0</v>
      </c>
    </row>
    <row r="71" spans="1:3" s="460" customFormat="1" ht="12" customHeight="1" thickBot="1" x14ac:dyDescent="0.25">
      <c r="A71" s="16" t="s">
        <v>342</v>
      </c>
      <c r="B71" s="329" t="s">
        <v>318</v>
      </c>
      <c r="C71" s="337">
        <f>'9.1.1. sz. mell ÖNK'!C74</f>
        <v>0</v>
      </c>
    </row>
    <row r="72" spans="1:3" s="460" customFormat="1" ht="12" customHeight="1" thickBot="1" x14ac:dyDescent="0.25">
      <c r="A72" s="509" t="s">
        <v>319</v>
      </c>
      <c r="B72" s="327" t="s">
        <v>320</v>
      </c>
      <c r="C72" s="332">
        <f>SUM(C73:C74)</f>
        <v>190750097</v>
      </c>
    </row>
    <row r="73" spans="1:3" s="460" customFormat="1" ht="12" customHeight="1" x14ac:dyDescent="0.2">
      <c r="A73" s="15" t="s">
        <v>343</v>
      </c>
      <c r="B73" s="461" t="s">
        <v>321</v>
      </c>
      <c r="C73" s="337">
        <f>'9.1.1. sz. mell ÖNK'!C76+'9.2.1. sz. mell HIV'!C39+'9.3.1. sz. mell GAM'!C38+'9.4.1. sz. mell ILMKS'!C38+'9.5.1. sz. mell OVI'!C38</f>
        <v>190750097</v>
      </c>
    </row>
    <row r="74" spans="1:3" s="460" customFormat="1" ht="12" customHeight="1" thickBot="1" x14ac:dyDescent="0.25">
      <c r="A74" s="16" t="s">
        <v>344</v>
      </c>
      <c r="B74" s="329" t="s">
        <v>322</v>
      </c>
      <c r="C74" s="337">
        <f>'9.1.1. sz. mell ÖNK'!C77+'9.2.1. sz. mell HIV'!C40+'9.3.1. sz. mell GAM'!C39+'9.4.1. sz. mell ILMKS'!C39+'9.5.1. sz. mell OVI'!C39</f>
        <v>0</v>
      </c>
    </row>
    <row r="75" spans="1:3" s="460" customFormat="1" ht="12" customHeight="1" thickBot="1" x14ac:dyDescent="0.25">
      <c r="A75" s="509" t="s">
        <v>323</v>
      </c>
      <c r="B75" s="327" t="s">
        <v>324</v>
      </c>
      <c r="C75" s="332">
        <f>SUM(C76:C78)</f>
        <v>0</v>
      </c>
    </row>
    <row r="76" spans="1:3" s="460" customFormat="1" ht="12" customHeight="1" x14ac:dyDescent="0.2">
      <c r="A76" s="15" t="s">
        <v>345</v>
      </c>
      <c r="B76" s="461" t="s">
        <v>325</v>
      </c>
      <c r="C76" s="337">
        <f>'9.1.1. sz. mell ÖNK'!C79</f>
        <v>0</v>
      </c>
    </row>
    <row r="77" spans="1:3" s="460" customFormat="1" ht="12" customHeight="1" x14ac:dyDescent="0.2">
      <c r="A77" s="14" t="s">
        <v>346</v>
      </c>
      <c r="B77" s="462" t="s">
        <v>326</v>
      </c>
      <c r="C77" s="337">
        <f>'9.1.1. sz. mell ÖNK'!C80</f>
        <v>0</v>
      </c>
    </row>
    <row r="78" spans="1:3" s="460" customFormat="1" ht="12" customHeight="1" thickBot="1" x14ac:dyDescent="0.25">
      <c r="A78" s="16" t="s">
        <v>347</v>
      </c>
      <c r="B78" s="329" t="s">
        <v>327</v>
      </c>
      <c r="C78" s="337">
        <f>'9.1.1. sz. mell ÖNK'!C81</f>
        <v>0</v>
      </c>
    </row>
    <row r="79" spans="1:3" s="460" customFormat="1" ht="12" customHeight="1" thickBot="1" x14ac:dyDescent="0.25">
      <c r="A79" s="509" t="s">
        <v>328</v>
      </c>
      <c r="B79" s="327" t="s">
        <v>348</v>
      </c>
      <c r="C79" s="332">
        <f>SUM(C80:C83)</f>
        <v>0</v>
      </c>
    </row>
    <row r="80" spans="1:3" s="460" customFormat="1" ht="12" customHeight="1" x14ac:dyDescent="0.2">
      <c r="A80" s="465" t="s">
        <v>329</v>
      </c>
      <c r="B80" s="461" t="s">
        <v>330</v>
      </c>
      <c r="C80" s="337">
        <f>'9.1.1. sz. mell ÖNK'!C83</f>
        <v>0</v>
      </c>
    </row>
    <row r="81" spans="1:3" s="460" customFormat="1" ht="12" customHeight="1" x14ac:dyDescent="0.2">
      <c r="A81" s="466" t="s">
        <v>331</v>
      </c>
      <c r="B81" s="462" t="s">
        <v>332</v>
      </c>
      <c r="C81" s="337">
        <f>'9.1.1. sz. mell ÖNK'!C84</f>
        <v>0</v>
      </c>
    </row>
    <row r="82" spans="1:3" s="460" customFormat="1" ht="12" customHeight="1" x14ac:dyDescent="0.2">
      <c r="A82" s="466" t="s">
        <v>333</v>
      </c>
      <c r="B82" s="462" t="s">
        <v>334</v>
      </c>
      <c r="C82" s="337">
        <f>'9.1.1. sz. mell ÖNK'!C85</f>
        <v>0</v>
      </c>
    </row>
    <row r="83" spans="1:3" s="460" customFormat="1" ht="12" customHeight="1" thickBot="1" x14ac:dyDescent="0.25">
      <c r="A83" s="467" t="s">
        <v>335</v>
      </c>
      <c r="B83" s="329" t="s">
        <v>336</v>
      </c>
      <c r="C83" s="337">
        <f>'9.1.1. sz. mell ÖNK'!C86</f>
        <v>0</v>
      </c>
    </row>
    <row r="84" spans="1:3" s="460" customFormat="1" ht="12" customHeight="1" thickBot="1" x14ac:dyDescent="0.25">
      <c r="A84" s="509" t="s">
        <v>337</v>
      </c>
      <c r="B84" s="327" t="s">
        <v>479</v>
      </c>
      <c r="C84" s="507"/>
    </row>
    <row r="85" spans="1:3" s="460" customFormat="1" ht="13.5" customHeight="1" thickBot="1" x14ac:dyDescent="0.25">
      <c r="A85" s="509" t="s">
        <v>339</v>
      </c>
      <c r="B85" s="327" t="s">
        <v>338</v>
      </c>
      <c r="C85" s="507"/>
    </row>
    <row r="86" spans="1:3" s="460" customFormat="1" ht="15.75" customHeight="1" thickBot="1" x14ac:dyDescent="0.25">
      <c r="A86" s="509" t="s">
        <v>351</v>
      </c>
      <c r="B86" s="468" t="s">
        <v>482</v>
      </c>
      <c r="C86" s="338">
        <f>+C63+C67+C72+C75+C79+C85+C84</f>
        <v>220646097</v>
      </c>
    </row>
    <row r="87" spans="1:3" s="460" customFormat="1" ht="16.5" customHeight="1" thickBot="1" x14ac:dyDescent="0.25">
      <c r="A87" s="510" t="s">
        <v>481</v>
      </c>
      <c r="B87" s="469" t="s">
        <v>483</v>
      </c>
      <c r="C87" s="338">
        <f>+C62+C86</f>
        <v>1925663231</v>
      </c>
    </row>
    <row r="88" spans="1:3" s="460" customFormat="1" ht="29.25" customHeight="1" x14ac:dyDescent="0.2">
      <c r="A88" s="5"/>
      <c r="B88" s="6"/>
      <c r="C88" s="339"/>
    </row>
    <row r="89" spans="1:3" ht="16.5" customHeight="1" x14ac:dyDescent="0.25">
      <c r="A89" s="670" t="s">
        <v>47</v>
      </c>
      <c r="B89" s="670"/>
      <c r="C89" s="670"/>
    </row>
    <row r="90" spans="1:3" s="470" customFormat="1" ht="16.5" customHeight="1" thickBot="1" x14ac:dyDescent="0.3">
      <c r="A90" s="672" t="s">
        <v>154</v>
      </c>
      <c r="B90" s="672"/>
      <c r="C90" s="164" t="s">
        <v>579</v>
      </c>
    </row>
    <row r="91" spans="1:3" ht="38.1" customHeight="1" thickBot="1" x14ac:dyDescent="0.3">
      <c r="A91" s="23" t="s">
        <v>71</v>
      </c>
      <c r="B91" s="24" t="s">
        <v>48</v>
      </c>
      <c r="C91" s="44" t="str">
        <f>+C3</f>
        <v>2017. évi előirányzat</v>
      </c>
    </row>
    <row r="92" spans="1:3" s="459" customFormat="1" ht="12" customHeight="1" thickBot="1" x14ac:dyDescent="0.25">
      <c r="A92" s="36"/>
      <c r="B92" s="37" t="s">
        <v>496</v>
      </c>
      <c r="C92" s="38" t="s">
        <v>497</v>
      </c>
    </row>
    <row r="93" spans="1:3" ht="12" customHeight="1" thickBot="1" x14ac:dyDescent="0.3">
      <c r="A93" s="22" t="s">
        <v>18</v>
      </c>
      <c r="B93" s="31" t="s">
        <v>441</v>
      </c>
      <c r="C93" s="331">
        <f>C94+C95+C96+C97+C98+C111</f>
        <v>1245922703</v>
      </c>
    </row>
    <row r="94" spans="1:3" ht="12" customHeight="1" x14ac:dyDescent="0.25">
      <c r="A94" s="17" t="s">
        <v>100</v>
      </c>
      <c r="B94" s="10" t="s">
        <v>49</v>
      </c>
      <c r="C94" s="333">
        <f>'9.1.1. sz. mell ÖNK'!C94+'9.2.1. sz. mell HIV'!C47+'9.3.1. sz. mell GAM'!C46+'9.4.1. sz. mell ILMKS'!C46+'9.5.1. sz. mell OVI'!C46+'9.6.1. sz. mell CSSK'!C46</f>
        <v>576484070</v>
      </c>
    </row>
    <row r="95" spans="1:3" ht="12" customHeight="1" x14ac:dyDescent="0.25">
      <c r="A95" s="14" t="s">
        <v>101</v>
      </c>
      <c r="B95" s="8" t="s">
        <v>181</v>
      </c>
      <c r="C95" s="334">
        <f>'9.1.1. sz. mell ÖNK'!C95+'9.2.1. sz. mell HIV'!C48+'9.3.1. sz. mell GAM'!C47+'9.4.1. sz. mell ILMKS'!C47+'9.5.1. sz. mell OVI'!C47+'9.6.1. sz. mell CSSK'!C47</f>
        <v>107970642</v>
      </c>
    </row>
    <row r="96" spans="1:3" ht="12" customHeight="1" x14ac:dyDescent="0.25">
      <c r="A96" s="14" t="s">
        <v>102</v>
      </c>
      <c r="B96" s="8" t="s">
        <v>142</v>
      </c>
      <c r="C96" s="334">
        <f>'9.1.1. sz. mell ÖNK'!C96+'9.2.1. sz. mell HIV'!C49+'9.3.1. sz. mell GAM'!C48+'9.4.1. sz. mell ILMKS'!C48+'9.5.1. sz. mell OVI'!C48+'9.6.1. sz. mell CSSK'!C48</f>
        <v>498776002</v>
      </c>
    </row>
    <row r="97" spans="1:3" ht="12" customHeight="1" x14ac:dyDescent="0.25">
      <c r="A97" s="14" t="s">
        <v>103</v>
      </c>
      <c r="B97" s="11" t="s">
        <v>182</v>
      </c>
      <c r="C97" s="334">
        <f>'9.1.1. sz. mell ÖNK'!C98+'9.2.1. sz. mell HIV'!C50+'9.3.1. sz. mell GAM'!C49+'9.4.1. sz. mell ILMKS'!C49+'9.5.1. sz. mell OVI'!C49+'9.6.1. sz. mell CSSK'!C49</f>
        <v>24560000</v>
      </c>
    </row>
    <row r="98" spans="1:3" ht="12" customHeight="1" x14ac:dyDescent="0.25">
      <c r="A98" s="14" t="s">
        <v>114</v>
      </c>
      <c r="B98" s="19" t="s">
        <v>183</v>
      </c>
      <c r="C98" s="334">
        <f>'9.1.1. sz. mell ÖNK'!C99+'9.2.1. sz. mell HIV'!C51+'9.3.1. sz. mell GAM'!C50+'9.4.1. sz. mell ILMKS'!C50+'9.5.1. sz. mell OVI'!C50+'9.6.1. sz. mell CSSK'!C50</f>
        <v>31367772</v>
      </c>
    </row>
    <row r="99" spans="1:3" ht="12" customHeight="1" x14ac:dyDescent="0.25">
      <c r="A99" s="14" t="s">
        <v>104</v>
      </c>
      <c r="B99" s="8" t="s">
        <v>446</v>
      </c>
      <c r="C99" s="336">
        <f>'9.1.1. sz. mell ÖNK'!C100</f>
        <v>409475</v>
      </c>
    </row>
    <row r="100" spans="1:3" ht="12" customHeight="1" x14ac:dyDescent="0.25">
      <c r="A100" s="14" t="s">
        <v>105</v>
      </c>
      <c r="B100" s="169" t="s">
        <v>445</v>
      </c>
      <c r="C100" s="336">
        <f>'9.1.1. sz. mell ÖNK'!C101</f>
        <v>0</v>
      </c>
    </row>
    <row r="101" spans="1:3" ht="12" customHeight="1" x14ac:dyDescent="0.25">
      <c r="A101" s="14" t="s">
        <v>115</v>
      </c>
      <c r="B101" s="169" t="s">
        <v>444</v>
      </c>
      <c r="C101" s="336">
        <f>'9.1.1. sz. mell ÖNK'!C102</f>
        <v>0</v>
      </c>
    </row>
    <row r="102" spans="1:3" ht="12" customHeight="1" x14ac:dyDescent="0.25">
      <c r="A102" s="14" t="s">
        <v>116</v>
      </c>
      <c r="B102" s="167" t="s">
        <v>354</v>
      </c>
      <c r="C102" s="336">
        <f>'9.1.1. sz. mell ÖNK'!C103</f>
        <v>0</v>
      </c>
    </row>
    <row r="103" spans="1:3" ht="12" customHeight="1" x14ac:dyDescent="0.25">
      <c r="A103" s="14" t="s">
        <v>117</v>
      </c>
      <c r="B103" s="168" t="s">
        <v>355</v>
      </c>
      <c r="C103" s="336">
        <f>'9.1.1. sz. mell ÖNK'!C104</f>
        <v>0</v>
      </c>
    </row>
    <row r="104" spans="1:3" ht="12" customHeight="1" x14ac:dyDescent="0.25">
      <c r="A104" s="14" t="s">
        <v>118</v>
      </c>
      <c r="B104" s="168" t="s">
        <v>356</v>
      </c>
      <c r="C104" s="336">
        <f>'9.1.1. sz. mell ÖNK'!C105</f>
        <v>0</v>
      </c>
    </row>
    <row r="105" spans="1:3" ht="12" customHeight="1" x14ac:dyDescent="0.25">
      <c r="A105" s="14" t="s">
        <v>120</v>
      </c>
      <c r="B105" s="167" t="s">
        <v>357</v>
      </c>
      <c r="C105" s="336">
        <f>'9.1.1. sz. mell ÖNK'!C106</f>
        <v>1600000</v>
      </c>
    </row>
    <row r="106" spans="1:3" ht="12" customHeight="1" x14ac:dyDescent="0.25">
      <c r="A106" s="14" t="s">
        <v>184</v>
      </c>
      <c r="B106" s="167" t="s">
        <v>358</v>
      </c>
      <c r="C106" s="336">
        <f>'9.1.1. sz. mell ÖNK'!C107</f>
        <v>0</v>
      </c>
    </row>
    <row r="107" spans="1:3" ht="12" customHeight="1" x14ac:dyDescent="0.25">
      <c r="A107" s="14" t="s">
        <v>352</v>
      </c>
      <c r="B107" s="168" t="s">
        <v>359</v>
      </c>
      <c r="C107" s="336">
        <f>'9.1.1. sz. mell ÖNK'!C108</f>
        <v>2000000</v>
      </c>
    </row>
    <row r="108" spans="1:3" ht="12" customHeight="1" x14ac:dyDescent="0.25">
      <c r="A108" s="13" t="s">
        <v>353</v>
      </c>
      <c r="B108" s="169" t="s">
        <v>360</v>
      </c>
      <c r="C108" s="336">
        <f>'9.1.1. sz. mell ÖNK'!C109</f>
        <v>0</v>
      </c>
    </row>
    <row r="109" spans="1:3" ht="12" customHeight="1" x14ac:dyDescent="0.25">
      <c r="A109" s="14" t="s">
        <v>442</v>
      </c>
      <c r="B109" s="169" t="s">
        <v>361</v>
      </c>
      <c r="C109" s="336">
        <f>'9.1.1. sz. mell ÖNK'!C110</f>
        <v>0</v>
      </c>
    </row>
    <row r="110" spans="1:3" ht="12" customHeight="1" x14ac:dyDescent="0.25">
      <c r="A110" s="16" t="s">
        <v>443</v>
      </c>
      <c r="B110" s="169" t="s">
        <v>362</v>
      </c>
      <c r="C110" s="336">
        <f>'9.1.1. sz. mell ÖNK'!C111</f>
        <v>27300000</v>
      </c>
    </row>
    <row r="111" spans="1:3" ht="12" customHeight="1" x14ac:dyDescent="0.25">
      <c r="A111" s="14" t="s">
        <v>447</v>
      </c>
      <c r="B111" s="11" t="s">
        <v>50</v>
      </c>
      <c r="C111" s="336">
        <f>'9.1.1. sz. mell ÖNK'!C112</f>
        <v>6764217</v>
      </c>
    </row>
    <row r="112" spans="1:3" ht="12" customHeight="1" x14ac:dyDescent="0.25">
      <c r="A112" s="14" t="s">
        <v>448</v>
      </c>
      <c r="B112" s="8" t="s">
        <v>450</v>
      </c>
      <c r="C112" s="336">
        <f>'9.1.1. sz. mell ÖNK'!C113</f>
        <v>6764217</v>
      </c>
    </row>
    <row r="113" spans="1:3" ht="12" customHeight="1" thickBot="1" x14ac:dyDescent="0.3">
      <c r="A113" s="16" t="s">
        <v>449</v>
      </c>
      <c r="B113" s="593" t="s">
        <v>451</v>
      </c>
      <c r="C113" s="336">
        <f>'9.1.1. sz. mell ÖNK'!C114</f>
        <v>0</v>
      </c>
    </row>
    <row r="114" spans="1:3" ht="12" customHeight="1" thickBot="1" x14ac:dyDescent="0.3">
      <c r="A114" s="20" t="s">
        <v>19</v>
      </c>
      <c r="B114" s="30" t="s">
        <v>363</v>
      </c>
      <c r="C114" s="332">
        <f>+C115+C117+C119</f>
        <v>600439964</v>
      </c>
    </row>
    <row r="115" spans="1:3" ht="12" customHeight="1" x14ac:dyDescent="0.25">
      <c r="A115" s="15" t="s">
        <v>106</v>
      </c>
      <c r="B115" s="8" t="s">
        <v>226</v>
      </c>
      <c r="C115" s="335">
        <f>'9.1.1. sz. mell ÖNK'!C116+'9.2.1. sz. mell HIV'!C53+'9.3.1. sz. mell GAM'!C52+'9.4.1. sz. mell ILMKS'!C52+'9.5.1. sz. mell OVI'!C52+'9.6.1. sz. mell CSSK'!C52</f>
        <v>553690917</v>
      </c>
    </row>
    <row r="116" spans="1:3" ht="12" customHeight="1" x14ac:dyDescent="0.25">
      <c r="A116" s="15" t="s">
        <v>107</v>
      </c>
      <c r="B116" s="12" t="s">
        <v>367</v>
      </c>
      <c r="C116" s="335"/>
    </row>
    <row r="117" spans="1:3" ht="12" customHeight="1" x14ac:dyDescent="0.25">
      <c r="A117" s="15" t="s">
        <v>108</v>
      </c>
      <c r="B117" s="12" t="s">
        <v>185</v>
      </c>
      <c r="C117" s="334">
        <f>'9.1.1. sz. mell ÖNK'!C118+'9.2.1. sz. mell HIV'!C54+'9.3.1. sz. mell GAM'!C53+'9.4.1. sz. mell ILMKS'!C53+'9.5.1. sz. mell OVI'!C53+'9.6.1. sz. mell CSSK'!C53</f>
        <v>46749047</v>
      </c>
    </row>
    <row r="118" spans="1:3" ht="12" customHeight="1" x14ac:dyDescent="0.25">
      <c r="A118" s="15" t="s">
        <v>109</v>
      </c>
      <c r="B118" s="12" t="s">
        <v>368</v>
      </c>
      <c r="C118" s="299"/>
    </row>
    <row r="119" spans="1:3" ht="12" customHeight="1" x14ac:dyDescent="0.25">
      <c r="A119" s="15" t="s">
        <v>110</v>
      </c>
      <c r="B119" s="329" t="s">
        <v>229</v>
      </c>
      <c r="C119" s="299">
        <f>'9.1.1. sz. mell ÖNK'!C120+'9.2.1. sz. mell HIV'!C55+'9.3.1. sz. mell GAM'!C54+'9.4.1. sz. mell ILMKS'!C54+'9.5.1. sz. mell OVI'!C54</f>
        <v>0</v>
      </c>
    </row>
    <row r="120" spans="1:3" ht="12" customHeight="1" x14ac:dyDescent="0.25">
      <c r="A120" s="15" t="s">
        <v>119</v>
      </c>
      <c r="B120" s="328" t="s">
        <v>432</v>
      </c>
      <c r="C120" s="299"/>
    </row>
    <row r="121" spans="1:3" ht="12" customHeight="1" x14ac:dyDescent="0.25">
      <c r="A121" s="15" t="s">
        <v>121</v>
      </c>
      <c r="B121" s="457" t="s">
        <v>373</v>
      </c>
      <c r="C121" s="299"/>
    </row>
    <row r="122" spans="1:3" x14ac:dyDescent="0.25">
      <c r="A122" s="15" t="s">
        <v>186</v>
      </c>
      <c r="B122" s="168" t="s">
        <v>356</v>
      </c>
      <c r="C122" s="299"/>
    </row>
    <row r="123" spans="1:3" ht="12" customHeight="1" x14ac:dyDescent="0.25">
      <c r="A123" s="15" t="s">
        <v>187</v>
      </c>
      <c r="B123" s="168" t="s">
        <v>372</v>
      </c>
      <c r="C123" s="299"/>
    </row>
    <row r="124" spans="1:3" ht="12" customHeight="1" x14ac:dyDescent="0.25">
      <c r="A124" s="15" t="s">
        <v>188</v>
      </c>
      <c r="B124" s="168" t="s">
        <v>371</v>
      </c>
      <c r="C124" s="299"/>
    </row>
    <row r="125" spans="1:3" ht="12" customHeight="1" x14ac:dyDescent="0.25">
      <c r="A125" s="15" t="s">
        <v>364</v>
      </c>
      <c r="B125" s="168" t="s">
        <v>359</v>
      </c>
      <c r="C125" s="299"/>
    </row>
    <row r="126" spans="1:3" ht="12" customHeight="1" x14ac:dyDescent="0.25">
      <c r="A126" s="15" t="s">
        <v>365</v>
      </c>
      <c r="B126" s="168" t="s">
        <v>370</v>
      </c>
      <c r="C126" s="299"/>
    </row>
    <row r="127" spans="1:3" ht="16.5" thickBot="1" x14ac:dyDescent="0.3">
      <c r="A127" s="13" t="s">
        <v>366</v>
      </c>
      <c r="B127" s="168" t="s">
        <v>369</v>
      </c>
      <c r="C127" s="301"/>
    </row>
    <row r="128" spans="1:3" ht="12" customHeight="1" thickBot="1" x14ac:dyDescent="0.3">
      <c r="A128" s="20" t="s">
        <v>20</v>
      </c>
      <c r="B128" s="150" t="s">
        <v>452</v>
      </c>
      <c r="C128" s="332">
        <f>+C93+C114</f>
        <v>1846362667</v>
      </c>
    </row>
    <row r="129" spans="1:3" ht="12" customHeight="1" thickBot="1" x14ac:dyDescent="0.3">
      <c r="A129" s="20" t="s">
        <v>21</v>
      </c>
      <c r="B129" s="150" t="s">
        <v>453</v>
      </c>
      <c r="C129" s="332">
        <f>+C130+C131+C132</f>
        <v>3532000</v>
      </c>
    </row>
    <row r="130" spans="1:3" ht="12" customHeight="1" x14ac:dyDescent="0.25">
      <c r="A130" s="15" t="s">
        <v>268</v>
      </c>
      <c r="B130" s="12" t="s">
        <v>460</v>
      </c>
      <c r="C130" s="299">
        <f>'9.1.1. sz. mell ÖNK'!C131</f>
        <v>3532000</v>
      </c>
    </row>
    <row r="131" spans="1:3" ht="12" customHeight="1" x14ac:dyDescent="0.25">
      <c r="A131" s="15" t="s">
        <v>269</v>
      </c>
      <c r="B131" s="12" t="s">
        <v>461</v>
      </c>
      <c r="C131" s="299">
        <f>'9.1.1. sz. mell ÖNK'!C132</f>
        <v>0</v>
      </c>
    </row>
    <row r="132" spans="1:3" ht="12" customHeight="1" thickBot="1" x14ac:dyDescent="0.3">
      <c r="A132" s="13" t="s">
        <v>270</v>
      </c>
      <c r="B132" s="12" t="s">
        <v>462</v>
      </c>
      <c r="C132" s="299">
        <f>'9.1.1. sz. mell ÖNK'!C133</f>
        <v>0</v>
      </c>
    </row>
    <row r="133" spans="1:3" ht="12" customHeight="1" thickBot="1" x14ac:dyDescent="0.3">
      <c r="A133" s="20" t="s">
        <v>22</v>
      </c>
      <c r="B133" s="150" t="s">
        <v>454</v>
      </c>
      <c r="C133" s="332">
        <f>SUM(C134:C139)</f>
        <v>0</v>
      </c>
    </row>
    <row r="134" spans="1:3" ht="12" customHeight="1" x14ac:dyDescent="0.25">
      <c r="A134" s="15" t="s">
        <v>93</v>
      </c>
      <c r="B134" s="9" t="s">
        <v>463</v>
      </c>
      <c r="C134" s="299">
        <f>'9.1.1. sz. mell ÖNK'!C135</f>
        <v>0</v>
      </c>
    </row>
    <row r="135" spans="1:3" ht="12" customHeight="1" x14ac:dyDescent="0.25">
      <c r="A135" s="15" t="s">
        <v>94</v>
      </c>
      <c r="B135" s="9" t="s">
        <v>455</v>
      </c>
      <c r="C135" s="299">
        <f>'9.1.1. sz. mell ÖNK'!C136</f>
        <v>0</v>
      </c>
    </row>
    <row r="136" spans="1:3" ht="12" customHeight="1" x14ac:dyDescent="0.25">
      <c r="A136" s="15" t="s">
        <v>95</v>
      </c>
      <c r="B136" s="9" t="s">
        <v>456</v>
      </c>
      <c r="C136" s="299">
        <f>'9.1.1. sz. mell ÖNK'!C137</f>
        <v>0</v>
      </c>
    </row>
    <row r="137" spans="1:3" ht="12" customHeight="1" x14ac:dyDescent="0.25">
      <c r="A137" s="15" t="s">
        <v>173</v>
      </c>
      <c r="B137" s="9" t="s">
        <v>457</v>
      </c>
      <c r="C137" s="299">
        <f>'9.1.1. sz. mell ÖNK'!C138</f>
        <v>0</v>
      </c>
    </row>
    <row r="138" spans="1:3" ht="12" customHeight="1" x14ac:dyDescent="0.25">
      <c r="A138" s="15" t="s">
        <v>174</v>
      </c>
      <c r="B138" s="9" t="s">
        <v>458</v>
      </c>
      <c r="C138" s="299">
        <f>'9.1.1. sz. mell ÖNK'!C139</f>
        <v>0</v>
      </c>
    </row>
    <row r="139" spans="1:3" ht="12" customHeight="1" thickBot="1" x14ac:dyDescent="0.3">
      <c r="A139" s="13" t="s">
        <v>175</v>
      </c>
      <c r="B139" s="9" t="s">
        <v>459</v>
      </c>
      <c r="C139" s="299">
        <f>'9.1.1. sz. mell ÖNK'!C140</f>
        <v>0</v>
      </c>
    </row>
    <row r="140" spans="1:3" ht="12" customHeight="1" thickBot="1" x14ac:dyDescent="0.3">
      <c r="A140" s="20" t="s">
        <v>23</v>
      </c>
      <c r="B140" s="150" t="s">
        <v>467</v>
      </c>
      <c r="C140" s="338">
        <f>+C141+C142+C143+C144</f>
        <v>19096437</v>
      </c>
    </row>
    <row r="141" spans="1:3" ht="12" customHeight="1" x14ac:dyDescent="0.25">
      <c r="A141" s="15" t="s">
        <v>96</v>
      </c>
      <c r="B141" s="9" t="s">
        <v>374</v>
      </c>
      <c r="C141" s="299">
        <f>'9.1.1. sz. mell ÖNK'!C142</f>
        <v>0</v>
      </c>
    </row>
    <row r="142" spans="1:3" ht="12" customHeight="1" x14ac:dyDescent="0.25">
      <c r="A142" s="15" t="s">
        <v>97</v>
      </c>
      <c r="B142" s="9" t="s">
        <v>375</v>
      </c>
      <c r="C142" s="299">
        <f>'9.1.1. sz. mell ÖNK'!C143</f>
        <v>18143148</v>
      </c>
    </row>
    <row r="143" spans="1:3" ht="12" customHeight="1" x14ac:dyDescent="0.25">
      <c r="A143" s="15" t="s">
        <v>288</v>
      </c>
      <c r="B143" s="9" t="s">
        <v>468</v>
      </c>
      <c r="C143" s="299">
        <f>'9.1.1. sz. mell ÖNK'!C145</f>
        <v>0</v>
      </c>
    </row>
    <row r="144" spans="1:3" ht="12" customHeight="1" thickBot="1" x14ac:dyDescent="0.3">
      <c r="A144" s="13" t="s">
        <v>289</v>
      </c>
      <c r="B144" s="7" t="s">
        <v>394</v>
      </c>
      <c r="C144" s="299">
        <f>'9.1.1. sz. mell ÖNK'!C146</f>
        <v>953289</v>
      </c>
    </row>
    <row r="145" spans="1:9" ht="12" customHeight="1" thickBot="1" x14ac:dyDescent="0.3">
      <c r="A145" s="20" t="s">
        <v>24</v>
      </c>
      <c r="B145" s="150" t="s">
        <v>469</v>
      </c>
      <c r="C145" s="341">
        <f>SUM(C146:C150)</f>
        <v>0</v>
      </c>
    </row>
    <row r="146" spans="1:9" ht="12" customHeight="1" x14ac:dyDescent="0.25">
      <c r="A146" s="15" t="s">
        <v>98</v>
      </c>
      <c r="B146" s="9" t="s">
        <v>464</v>
      </c>
      <c r="C146" s="299"/>
    </row>
    <row r="147" spans="1:9" ht="12" customHeight="1" x14ac:dyDescent="0.25">
      <c r="A147" s="15" t="s">
        <v>99</v>
      </c>
      <c r="B147" s="9" t="s">
        <v>471</v>
      </c>
      <c r="C147" s="299"/>
    </row>
    <row r="148" spans="1:9" ht="12" customHeight="1" x14ac:dyDescent="0.25">
      <c r="A148" s="15" t="s">
        <v>300</v>
      </c>
      <c r="B148" s="9" t="s">
        <v>466</v>
      </c>
      <c r="C148" s="299"/>
    </row>
    <row r="149" spans="1:9" ht="12" customHeight="1" x14ac:dyDescent="0.25">
      <c r="A149" s="15" t="s">
        <v>301</v>
      </c>
      <c r="B149" s="9" t="s">
        <v>472</v>
      </c>
      <c r="C149" s="299"/>
    </row>
    <row r="150" spans="1:9" ht="12" customHeight="1" thickBot="1" x14ac:dyDescent="0.3">
      <c r="A150" s="15" t="s">
        <v>470</v>
      </c>
      <c r="B150" s="9" t="s">
        <v>473</v>
      </c>
      <c r="C150" s="299"/>
    </row>
    <row r="151" spans="1:9" ht="12" customHeight="1" thickBot="1" x14ac:dyDescent="0.3">
      <c r="A151" s="20" t="s">
        <v>25</v>
      </c>
      <c r="B151" s="150" t="s">
        <v>474</v>
      </c>
      <c r="C151" s="537"/>
    </row>
    <row r="152" spans="1:9" ht="12" customHeight="1" thickBot="1" x14ac:dyDescent="0.3">
      <c r="A152" s="20" t="s">
        <v>26</v>
      </c>
      <c r="B152" s="150" t="s">
        <v>475</v>
      </c>
      <c r="C152" s="537"/>
    </row>
    <row r="153" spans="1:9" ht="15" customHeight="1" thickBot="1" x14ac:dyDescent="0.3">
      <c r="A153" s="20" t="s">
        <v>27</v>
      </c>
      <c r="B153" s="150" t="s">
        <v>477</v>
      </c>
      <c r="C153" s="471">
        <f>+C129+C133+C140+C145+C151+C152</f>
        <v>22628437</v>
      </c>
      <c r="F153" s="472"/>
      <c r="G153" s="473"/>
      <c r="H153" s="473"/>
      <c r="I153" s="473"/>
    </row>
    <row r="154" spans="1:9" s="460" customFormat="1" ht="12.95" customHeight="1" thickBot="1" x14ac:dyDescent="0.25">
      <c r="A154" s="330" t="s">
        <v>28</v>
      </c>
      <c r="B154" s="423" t="s">
        <v>476</v>
      </c>
      <c r="C154" s="471">
        <f>+C128+C153</f>
        <v>1868991104</v>
      </c>
    </row>
    <row r="155" spans="1:9" ht="7.5" customHeight="1" x14ac:dyDescent="0.25"/>
    <row r="156" spans="1:9" x14ac:dyDescent="0.25">
      <c r="A156" s="673" t="s">
        <v>376</v>
      </c>
      <c r="B156" s="673"/>
      <c r="C156" s="673"/>
    </row>
    <row r="157" spans="1:9" ht="15" customHeight="1" thickBot="1" x14ac:dyDescent="0.3">
      <c r="A157" s="671" t="s">
        <v>155</v>
      </c>
      <c r="B157" s="671"/>
      <c r="C157" s="342" t="s">
        <v>227</v>
      </c>
    </row>
    <row r="158" spans="1:9" ht="13.5" customHeight="1" thickBot="1" x14ac:dyDescent="0.3">
      <c r="A158" s="20">
        <v>1</v>
      </c>
      <c r="B158" s="30" t="s">
        <v>478</v>
      </c>
      <c r="C158" s="332">
        <f>+C62-C128</f>
        <v>-141345533</v>
      </c>
      <c r="D158" s="474"/>
    </row>
    <row r="159" spans="1:9" ht="27.75" customHeight="1" thickBot="1" x14ac:dyDescent="0.3">
      <c r="A159" s="20" t="s">
        <v>19</v>
      </c>
      <c r="B159" s="30" t="s">
        <v>575</v>
      </c>
      <c r="C159" s="332">
        <f>+C86-C153</f>
        <v>198017660</v>
      </c>
    </row>
  </sheetData>
  <mergeCells count="6">
    <mergeCell ref="A157:B157"/>
    <mergeCell ref="A1:C1"/>
    <mergeCell ref="A2:B2"/>
    <mergeCell ref="A89:C89"/>
    <mergeCell ref="A90:B90"/>
    <mergeCell ref="A156:C156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2017. ÉVI KÖLTSÉGVETÉS
KÖTELEZŐ FELADATAINAK MÉRLEGE &amp;R&amp;"Times New Roman CE,Félkövér dőlt"&amp;11 1.2. melléklet a 6/2017. (III. 13.) önkormányzati rendelethez</oddHeader>
  </headerFooter>
  <rowBreaks count="1" manualBreakCount="1">
    <brk id="87" max="2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4" zoomScaleNormal="100" workbookViewId="0">
      <selection activeCell="C2" sqref="C2"/>
    </sheetView>
  </sheetViews>
  <sheetFormatPr defaultRowHeight="12.75" x14ac:dyDescent="0.2"/>
  <cols>
    <col min="1" max="1" width="13.83203125" style="276" customWidth="1"/>
    <col min="2" max="2" width="79.1640625" style="277" customWidth="1"/>
    <col min="3" max="3" width="25" style="277" customWidth="1"/>
    <col min="4" max="16384" width="9.33203125" style="277"/>
  </cols>
  <sheetData>
    <row r="1" spans="1:3" s="256" customFormat="1" ht="21" customHeight="1" thickBot="1" x14ac:dyDescent="0.25">
      <c r="A1" s="255"/>
      <c r="B1" s="257"/>
      <c r="C1" s="500" t="str">
        <f>+CONCATENATE("9.4.3. melléklet a 6/",LEFT(ÖSSZEFÜGGÉSEK!A5,4),". (III. 13.) önkormányzati rendelethez")</f>
        <v>9.4.3. melléklet a 6/2017. (III. 13.) önkormányzati rendelethez</v>
      </c>
    </row>
    <row r="2" spans="1:3" s="501" customFormat="1" ht="25.5" customHeight="1" x14ac:dyDescent="0.2">
      <c r="A2" s="451" t="s">
        <v>202</v>
      </c>
      <c r="B2" s="393" t="s">
        <v>572</v>
      </c>
      <c r="C2" s="407" t="s">
        <v>435</v>
      </c>
    </row>
    <row r="3" spans="1:3" s="501" customFormat="1" ht="24.75" thickBot="1" x14ac:dyDescent="0.25">
      <c r="A3" s="494" t="s">
        <v>201</v>
      </c>
      <c r="B3" s="394" t="s">
        <v>534</v>
      </c>
      <c r="C3" s="408" t="s">
        <v>61</v>
      </c>
    </row>
    <row r="4" spans="1:3" s="502" customFormat="1" ht="15.95" customHeight="1" thickBot="1" x14ac:dyDescent="0.3">
      <c r="A4" s="259"/>
      <c r="B4" s="259"/>
      <c r="C4" s="260" t="s">
        <v>578</v>
      </c>
    </row>
    <row r="5" spans="1:3" ht="13.5" thickBot="1" x14ac:dyDescent="0.25">
      <c r="A5" s="452" t="s">
        <v>203</v>
      </c>
      <c r="B5" s="261" t="s">
        <v>567</v>
      </c>
      <c r="C5" s="262" t="s">
        <v>56</v>
      </c>
    </row>
    <row r="6" spans="1:3" s="503" customFormat="1" ht="12.95" customHeight="1" thickBot="1" x14ac:dyDescent="0.25">
      <c r="A6" s="223"/>
      <c r="B6" s="224" t="s">
        <v>496</v>
      </c>
      <c r="C6" s="225" t="s">
        <v>497</v>
      </c>
    </row>
    <row r="7" spans="1:3" s="503" customFormat="1" ht="15.95" customHeight="1" thickBot="1" x14ac:dyDescent="0.25">
      <c r="A7" s="263"/>
      <c r="B7" s="264" t="s">
        <v>57</v>
      </c>
      <c r="C7" s="265"/>
    </row>
    <row r="8" spans="1:3" s="409" customFormat="1" ht="12" customHeight="1" thickBot="1" x14ac:dyDescent="0.25">
      <c r="A8" s="223" t="s">
        <v>18</v>
      </c>
      <c r="B8" s="266" t="s">
        <v>522</v>
      </c>
      <c r="C8" s="352">
        <f>SUM(C9:C19)</f>
        <v>0</v>
      </c>
    </row>
    <row r="9" spans="1:3" s="409" customFormat="1" ht="12" customHeight="1" x14ac:dyDescent="0.2">
      <c r="A9" s="495" t="s">
        <v>100</v>
      </c>
      <c r="B9" s="10" t="s">
        <v>277</v>
      </c>
      <c r="C9" s="398">
        <v>0</v>
      </c>
    </row>
    <row r="10" spans="1:3" s="409" customFormat="1" ht="12" customHeight="1" x14ac:dyDescent="0.2">
      <c r="A10" s="496" t="s">
        <v>101</v>
      </c>
      <c r="B10" s="8" t="s">
        <v>278</v>
      </c>
      <c r="C10" s="350"/>
    </row>
    <row r="11" spans="1:3" s="409" customFormat="1" ht="12" customHeight="1" x14ac:dyDescent="0.2">
      <c r="A11" s="496" t="s">
        <v>102</v>
      </c>
      <c r="B11" s="8" t="s">
        <v>279</v>
      </c>
      <c r="C11" s="350"/>
    </row>
    <row r="12" spans="1:3" s="409" customFormat="1" ht="12" customHeight="1" x14ac:dyDescent="0.2">
      <c r="A12" s="496" t="s">
        <v>103</v>
      </c>
      <c r="B12" s="8" t="s">
        <v>280</v>
      </c>
      <c r="C12" s="350"/>
    </row>
    <row r="13" spans="1:3" s="409" customFormat="1" ht="12" customHeight="1" x14ac:dyDescent="0.2">
      <c r="A13" s="496" t="s">
        <v>149</v>
      </c>
      <c r="B13" s="8" t="s">
        <v>281</v>
      </c>
      <c r="C13" s="350"/>
    </row>
    <row r="14" spans="1:3" s="409" customFormat="1" ht="12" customHeight="1" x14ac:dyDescent="0.2">
      <c r="A14" s="496" t="s">
        <v>104</v>
      </c>
      <c r="B14" s="8" t="s">
        <v>403</v>
      </c>
      <c r="C14" s="350"/>
    </row>
    <row r="15" spans="1:3" s="409" customFormat="1" ht="12" customHeight="1" x14ac:dyDescent="0.2">
      <c r="A15" s="496" t="s">
        <v>105</v>
      </c>
      <c r="B15" s="7" t="s">
        <v>404</v>
      </c>
      <c r="C15" s="350"/>
    </row>
    <row r="16" spans="1:3" s="409" customFormat="1" ht="12" customHeight="1" x14ac:dyDescent="0.2">
      <c r="A16" s="496" t="s">
        <v>115</v>
      </c>
      <c r="B16" s="8" t="s">
        <v>284</v>
      </c>
      <c r="C16" s="399"/>
    </row>
    <row r="17" spans="1:3" s="504" customFormat="1" ht="12" customHeight="1" x14ac:dyDescent="0.2">
      <c r="A17" s="496" t="s">
        <v>116</v>
      </c>
      <c r="B17" s="8" t="s">
        <v>285</v>
      </c>
      <c r="C17" s="350"/>
    </row>
    <row r="18" spans="1:3" s="504" customFormat="1" ht="12" customHeight="1" x14ac:dyDescent="0.2">
      <c r="A18" s="496" t="s">
        <v>117</v>
      </c>
      <c r="B18" s="8" t="s">
        <v>440</v>
      </c>
      <c r="C18" s="351"/>
    </row>
    <row r="19" spans="1:3" s="504" customFormat="1" ht="12" customHeight="1" thickBot="1" x14ac:dyDescent="0.25">
      <c r="A19" s="496" t="s">
        <v>118</v>
      </c>
      <c r="B19" s="7" t="s">
        <v>286</v>
      </c>
      <c r="C19" s="351"/>
    </row>
    <row r="20" spans="1:3" s="409" customFormat="1" ht="12" customHeight="1" thickBot="1" x14ac:dyDescent="0.25">
      <c r="A20" s="223" t="s">
        <v>19</v>
      </c>
      <c r="B20" s="266" t="s">
        <v>405</v>
      </c>
      <c r="C20" s="352">
        <f>SUM(C21:C23)</f>
        <v>0</v>
      </c>
    </row>
    <row r="21" spans="1:3" s="504" customFormat="1" ht="12" customHeight="1" x14ac:dyDescent="0.2">
      <c r="A21" s="496" t="s">
        <v>106</v>
      </c>
      <c r="B21" s="9" t="s">
        <v>258</v>
      </c>
      <c r="C21" s="350"/>
    </row>
    <row r="22" spans="1:3" s="504" customFormat="1" ht="12" customHeight="1" x14ac:dyDescent="0.2">
      <c r="A22" s="496" t="s">
        <v>107</v>
      </c>
      <c r="B22" s="8" t="s">
        <v>406</v>
      </c>
      <c r="C22" s="350"/>
    </row>
    <row r="23" spans="1:3" s="504" customFormat="1" ht="12" customHeight="1" x14ac:dyDescent="0.2">
      <c r="A23" s="496" t="s">
        <v>108</v>
      </c>
      <c r="B23" s="8" t="s">
        <v>407</v>
      </c>
      <c r="C23" s="350"/>
    </row>
    <row r="24" spans="1:3" s="504" customFormat="1" ht="12" customHeight="1" thickBot="1" x14ac:dyDescent="0.25">
      <c r="A24" s="496" t="s">
        <v>109</v>
      </c>
      <c r="B24" s="8" t="s">
        <v>527</v>
      </c>
      <c r="C24" s="350"/>
    </row>
    <row r="25" spans="1:3" s="504" customFormat="1" ht="12" customHeight="1" thickBot="1" x14ac:dyDescent="0.25">
      <c r="A25" s="230" t="s">
        <v>20</v>
      </c>
      <c r="B25" s="150" t="s">
        <v>172</v>
      </c>
      <c r="C25" s="379"/>
    </row>
    <row r="26" spans="1:3" s="504" customFormat="1" ht="12" customHeight="1" thickBot="1" x14ac:dyDescent="0.25">
      <c r="A26" s="230" t="s">
        <v>21</v>
      </c>
      <c r="B26" s="150" t="s">
        <v>408</v>
      </c>
      <c r="C26" s="352">
        <f>+C27+C28</f>
        <v>0</v>
      </c>
    </row>
    <row r="27" spans="1:3" s="504" customFormat="1" ht="12" customHeight="1" x14ac:dyDescent="0.2">
      <c r="A27" s="497" t="s">
        <v>268</v>
      </c>
      <c r="B27" s="498" t="s">
        <v>406</v>
      </c>
      <c r="C27" s="94"/>
    </row>
    <row r="28" spans="1:3" s="504" customFormat="1" ht="12" customHeight="1" x14ac:dyDescent="0.2">
      <c r="A28" s="497" t="s">
        <v>269</v>
      </c>
      <c r="B28" s="499" t="s">
        <v>409</v>
      </c>
      <c r="C28" s="353"/>
    </row>
    <row r="29" spans="1:3" s="504" customFormat="1" ht="12" customHeight="1" thickBot="1" x14ac:dyDescent="0.25">
      <c r="A29" s="496" t="s">
        <v>270</v>
      </c>
      <c r="B29" s="166" t="s">
        <v>528</v>
      </c>
      <c r="C29" s="101"/>
    </row>
    <row r="30" spans="1:3" s="504" customFormat="1" ht="12" customHeight="1" thickBot="1" x14ac:dyDescent="0.25">
      <c r="A30" s="230" t="s">
        <v>22</v>
      </c>
      <c r="B30" s="150" t="s">
        <v>410</v>
      </c>
      <c r="C30" s="352">
        <f>+C31+C32+C33</f>
        <v>0</v>
      </c>
    </row>
    <row r="31" spans="1:3" s="504" customFormat="1" ht="12" customHeight="1" x14ac:dyDescent="0.2">
      <c r="A31" s="497" t="s">
        <v>93</v>
      </c>
      <c r="B31" s="498" t="s">
        <v>291</v>
      </c>
      <c r="C31" s="94"/>
    </row>
    <row r="32" spans="1:3" s="504" customFormat="1" ht="12" customHeight="1" x14ac:dyDescent="0.2">
      <c r="A32" s="497" t="s">
        <v>94</v>
      </c>
      <c r="B32" s="499" t="s">
        <v>292</v>
      </c>
      <c r="C32" s="353"/>
    </row>
    <row r="33" spans="1:3" s="504" customFormat="1" ht="12" customHeight="1" thickBot="1" x14ac:dyDescent="0.25">
      <c r="A33" s="496" t="s">
        <v>95</v>
      </c>
      <c r="B33" s="166" t="s">
        <v>293</v>
      </c>
      <c r="C33" s="101"/>
    </row>
    <row r="34" spans="1:3" s="409" customFormat="1" ht="12" customHeight="1" thickBot="1" x14ac:dyDescent="0.25">
      <c r="A34" s="230" t="s">
        <v>23</v>
      </c>
      <c r="B34" s="150" t="s">
        <v>379</v>
      </c>
      <c r="C34" s="379"/>
    </row>
    <row r="35" spans="1:3" s="409" customFormat="1" ht="12" customHeight="1" thickBot="1" x14ac:dyDescent="0.25">
      <c r="A35" s="230" t="s">
        <v>24</v>
      </c>
      <c r="B35" s="150" t="s">
        <v>411</v>
      </c>
      <c r="C35" s="400"/>
    </row>
    <row r="36" spans="1:3" s="409" customFormat="1" ht="12" customHeight="1" thickBot="1" x14ac:dyDescent="0.25">
      <c r="A36" s="223" t="s">
        <v>25</v>
      </c>
      <c r="B36" s="150" t="s">
        <v>529</v>
      </c>
      <c r="C36" s="401">
        <f>+C8+C20+C25+C26+C30+C34+C35</f>
        <v>0</v>
      </c>
    </row>
    <row r="37" spans="1:3" s="409" customFormat="1" ht="12" customHeight="1" thickBot="1" x14ac:dyDescent="0.25">
      <c r="A37" s="267" t="s">
        <v>26</v>
      </c>
      <c r="B37" s="150" t="s">
        <v>413</v>
      </c>
      <c r="C37" s="401">
        <f>+C38+C39+C40</f>
        <v>0</v>
      </c>
    </row>
    <row r="38" spans="1:3" s="409" customFormat="1" ht="12" customHeight="1" x14ac:dyDescent="0.2">
      <c r="A38" s="497" t="s">
        <v>414</v>
      </c>
      <c r="B38" s="498" t="s">
        <v>236</v>
      </c>
      <c r="C38" s="94"/>
    </row>
    <row r="39" spans="1:3" s="409" customFormat="1" ht="12" customHeight="1" x14ac:dyDescent="0.2">
      <c r="A39" s="497" t="s">
        <v>415</v>
      </c>
      <c r="B39" s="499" t="s">
        <v>2</v>
      </c>
      <c r="C39" s="353"/>
    </row>
    <row r="40" spans="1:3" s="504" customFormat="1" ht="12" customHeight="1" thickBot="1" x14ac:dyDescent="0.25">
      <c r="A40" s="496" t="s">
        <v>416</v>
      </c>
      <c r="B40" s="166" t="s">
        <v>417</v>
      </c>
      <c r="C40" s="101"/>
    </row>
    <row r="41" spans="1:3" s="504" customFormat="1" ht="15" customHeight="1" thickBot="1" x14ac:dyDescent="0.25">
      <c r="A41" s="267" t="s">
        <v>27</v>
      </c>
      <c r="B41" s="268" t="s">
        <v>418</v>
      </c>
      <c r="C41" s="404">
        <f>+C36+C37</f>
        <v>0</v>
      </c>
    </row>
    <row r="42" spans="1:3" s="504" customFormat="1" ht="15" customHeight="1" x14ac:dyDescent="0.2">
      <c r="A42" s="269"/>
      <c r="B42" s="270"/>
      <c r="C42" s="402"/>
    </row>
    <row r="43" spans="1:3" ht="13.5" thickBot="1" x14ac:dyDescent="0.25">
      <c r="A43" s="271"/>
      <c r="B43" s="272"/>
      <c r="C43" s="403"/>
    </row>
    <row r="44" spans="1:3" s="503" customFormat="1" ht="16.5" customHeight="1" thickBot="1" x14ac:dyDescent="0.25">
      <c r="A44" s="273"/>
      <c r="B44" s="274" t="s">
        <v>58</v>
      </c>
      <c r="C44" s="404"/>
    </row>
    <row r="45" spans="1:3" s="505" customFormat="1" ht="12" customHeight="1" thickBot="1" x14ac:dyDescent="0.25">
      <c r="A45" s="230" t="s">
        <v>18</v>
      </c>
      <c r="B45" s="150" t="s">
        <v>419</v>
      </c>
      <c r="C45" s="352">
        <f>SUM(C46:C50)</f>
        <v>0</v>
      </c>
    </row>
    <row r="46" spans="1:3" ht="12" customHeight="1" x14ac:dyDescent="0.2">
      <c r="A46" s="496" t="s">
        <v>100</v>
      </c>
      <c r="B46" s="9" t="s">
        <v>49</v>
      </c>
      <c r="C46" s="94"/>
    </row>
    <row r="47" spans="1:3" ht="12" customHeight="1" x14ac:dyDescent="0.2">
      <c r="A47" s="496" t="s">
        <v>101</v>
      </c>
      <c r="B47" s="8" t="s">
        <v>181</v>
      </c>
      <c r="C47" s="97"/>
    </row>
    <row r="48" spans="1:3" ht="12" customHeight="1" x14ac:dyDescent="0.2">
      <c r="A48" s="496" t="s">
        <v>102</v>
      </c>
      <c r="B48" s="8" t="s">
        <v>142</v>
      </c>
      <c r="C48" s="97"/>
    </row>
    <row r="49" spans="1:3" ht="12" customHeight="1" x14ac:dyDescent="0.2">
      <c r="A49" s="496" t="s">
        <v>103</v>
      </c>
      <c r="B49" s="8" t="s">
        <v>182</v>
      </c>
      <c r="C49" s="97"/>
    </row>
    <row r="50" spans="1:3" ht="12" customHeight="1" thickBot="1" x14ac:dyDescent="0.25">
      <c r="A50" s="496" t="s">
        <v>149</v>
      </c>
      <c r="B50" s="8" t="s">
        <v>183</v>
      </c>
      <c r="C50" s="97"/>
    </row>
    <row r="51" spans="1:3" ht="12" customHeight="1" thickBot="1" x14ac:dyDescent="0.25">
      <c r="A51" s="230" t="s">
        <v>19</v>
      </c>
      <c r="B51" s="150" t="s">
        <v>420</v>
      </c>
      <c r="C51" s="352">
        <f>SUM(C52:C54)</f>
        <v>0</v>
      </c>
    </row>
    <row r="52" spans="1:3" s="505" customFormat="1" ht="12" customHeight="1" x14ac:dyDescent="0.2">
      <c r="A52" s="496" t="s">
        <v>106</v>
      </c>
      <c r="B52" s="9" t="s">
        <v>226</v>
      </c>
      <c r="C52" s="94"/>
    </row>
    <row r="53" spans="1:3" ht="12" customHeight="1" x14ac:dyDescent="0.2">
      <c r="A53" s="496" t="s">
        <v>107</v>
      </c>
      <c r="B53" s="8" t="s">
        <v>185</v>
      </c>
      <c r="C53" s="97"/>
    </row>
    <row r="54" spans="1:3" ht="12" customHeight="1" x14ac:dyDescent="0.2">
      <c r="A54" s="496" t="s">
        <v>108</v>
      </c>
      <c r="B54" s="8" t="s">
        <v>59</v>
      </c>
      <c r="C54" s="97"/>
    </row>
    <row r="55" spans="1:3" ht="12" customHeight="1" thickBot="1" x14ac:dyDescent="0.25">
      <c r="A55" s="496" t="s">
        <v>109</v>
      </c>
      <c r="B55" s="8" t="s">
        <v>526</v>
      </c>
      <c r="C55" s="97"/>
    </row>
    <row r="56" spans="1:3" ht="15" customHeight="1" thickBot="1" x14ac:dyDescent="0.25">
      <c r="A56" s="230" t="s">
        <v>20</v>
      </c>
      <c r="B56" s="150" t="s">
        <v>12</v>
      </c>
      <c r="C56" s="379"/>
    </row>
    <row r="57" spans="1:3" ht="13.5" thickBot="1" x14ac:dyDescent="0.25">
      <c r="A57" s="230" t="s">
        <v>21</v>
      </c>
      <c r="B57" s="275" t="s">
        <v>533</v>
      </c>
      <c r="C57" s="405">
        <f>+C45+C51+C56</f>
        <v>0</v>
      </c>
    </row>
    <row r="58" spans="1:3" ht="15" customHeight="1" thickBot="1" x14ac:dyDescent="0.25">
      <c r="C58" s="406"/>
    </row>
    <row r="59" spans="1:3" ht="14.25" customHeight="1" thickBot="1" x14ac:dyDescent="0.25">
      <c r="A59" s="278" t="s">
        <v>521</v>
      </c>
      <c r="B59" s="279"/>
      <c r="C59" s="147"/>
    </row>
    <row r="60" spans="1:3" ht="13.5" thickBot="1" x14ac:dyDescent="0.25">
      <c r="A60" s="278" t="s">
        <v>204</v>
      </c>
      <c r="B60" s="279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28" zoomScaleNormal="100" workbookViewId="0">
      <selection activeCell="C37" sqref="C37:C57"/>
    </sheetView>
  </sheetViews>
  <sheetFormatPr defaultRowHeight="12.75" x14ac:dyDescent="0.2"/>
  <cols>
    <col min="1" max="1" width="13.83203125" style="276" customWidth="1"/>
    <col min="2" max="2" width="79.1640625" style="277" customWidth="1"/>
    <col min="3" max="3" width="25" style="277" customWidth="1"/>
    <col min="4" max="16384" width="9.33203125" style="277"/>
  </cols>
  <sheetData>
    <row r="1" spans="1:3" s="256" customFormat="1" ht="21" customHeight="1" thickBot="1" x14ac:dyDescent="0.25">
      <c r="A1" s="255"/>
      <c r="B1" s="257"/>
      <c r="C1" s="500" t="str">
        <f>+CONCATENATE("9.5. melléklet a 6/",LEFT(ÖSSZEFÜGGÉSEK!A5,4),". (III. 13.) önkormányzati rendelethez")</f>
        <v>9.5. melléklet a 6/2017. (III. 13.) önkormányzati rendelethez</v>
      </c>
    </row>
    <row r="2" spans="1:3" s="501" customFormat="1" ht="25.5" customHeight="1" x14ac:dyDescent="0.2">
      <c r="A2" s="451" t="s">
        <v>202</v>
      </c>
      <c r="B2" s="393" t="s">
        <v>573</v>
      </c>
      <c r="C2" s="407" t="s">
        <v>577</v>
      </c>
    </row>
    <row r="3" spans="1:3" s="501" customFormat="1" ht="24.75" thickBot="1" x14ac:dyDescent="0.25">
      <c r="A3" s="494" t="s">
        <v>201</v>
      </c>
      <c r="B3" s="394" t="s">
        <v>402</v>
      </c>
      <c r="C3" s="408"/>
    </row>
    <row r="4" spans="1:3" s="502" customFormat="1" ht="15.95" customHeight="1" thickBot="1" x14ac:dyDescent="0.3">
      <c r="A4" s="259"/>
      <c r="B4" s="259"/>
      <c r="C4" s="260" t="s">
        <v>55</v>
      </c>
    </row>
    <row r="5" spans="1:3" ht="13.5" thickBot="1" x14ac:dyDescent="0.25">
      <c r="A5" s="452" t="s">
        <v>203</v>
      </c>
      <c r="B5" s="261" t="s">
        <v>567</v>
      </c>
      <c r="C5" s="262" t="s">
        <v>56</v>
      </c>
    </row>
    <row r="6" spans="1:3" s="503" customFormat="1" ht="12.95" customHeight="1" thickBot="1" x14ac:dyDescent="0.25">
      <c r="A6" s="223"/>
      <c r="B6" s="224" t="s">
        <v>496</v>
      </c>
      <c r="C6" s="225" t="s">
        <v>497</v>
      </c>
    </row>
    <row r="7" spans="1:3" s="503" customFormat="1" ht="15.95" customHeight="1" thickBot="1" x14ac:dyDescent="0.25">
      <c r="A7" s="263"/>
      <c r="B7" s="264" t="s">
        <v>57</v>
      </c>
      <c r="C7" s="265"/>
    </row>
    <row r="8" spans="1:3" s="409" customFormat="1" ht="12" customHeight="1" thickBot="1" x14ac:dyDescent="0.25">
      <c r="A8" s="223" t="s">
        <v>18</v>
      </c>
      <c r="B8" s="266" t="s">
        <v>522</v>
      </c>
      <c r="C8" s="352">
        <f>SUM(C9:C19)</f>
        <v>0</v>
      </c>
    </row>
    <row r="9" spans="1:3" s="409" customFormat="1" ht="12" customHeight="1" x14ac:dyDescent="0.2">
      <c r="A9" s="495" t="s">
        <v>100</v>
      </c>
      <c r="B9" s="10" t="s">
        <v>277</v>
      </c>
      <c r="C9" s="398"/>
    </row>
    <row r="10" spans="1:3" s="409" customFormat="1" ht="12" customHeight="1" x14ac:dyDescent="0.2">
      <c r="A10" s="496" t="s">
        <v>101</v>
      </c>
      <c r="B10" s="8" t="s">
        <v>278</v>
      </c>
      <c r="C10" s="350"/>
    </row>
    <row r="11" spans="1:3" s="409" customFormat="1" ht="12" customHeight="1" x14ac:dyDescent="0.2">
      <c r="A11" s="496" t="s">
        <v>102</v>
      </c>
      <c r="B11" s="8" t="s">
        <v>279</v>
      </c>
      <c r="C11" s="350"/>
    </row>
    <row r="12" spans="1:3" s="409" customFormat="1" ht="12" customHeight="1" x14ac:dyDescent="0.2">
      <c r="A12" s="496" t="s">
        <v>103</v>
      </c>
      <c r="B12" s="8" t="s">
        <v>280</v>
      </c>
      <c r="C12" s="350"/>
    </row>
    <row r="13" spans="1:3" s="409" customFormat="1" ht="12" customHeight="1" x14ac:dyDescent="0.2">
      <c r="A13" s="496" t="s">
        <v>149</v>
      </c>
      <c r="B13" s="8" t="s">
        <v>281</v>
      </c>
      <c r="C13" s="350"/>
    </row>
    <row r="14" spans="1:3" s="409" customFormat="1" ht="12" customHeight="1" x14ac:dyDescent="0.2">
      <c r="A14" s="496" t="s">
        <v>104</v>
      </c>
      <c r="B14" s="8" t="s">
        <v>403</v>
      </c>
      <c r="C14" s="350"/>
    </row>
    <row r="15" spans="1:3" s="409" customFormat="1" ht="12" customHeight="1" x14ac:dyDescent="0.2">
      <c r="A15" s="496" t="s">
        <v>105</v>
      </c>
      <c r="B15" s="7" t="s">
        <v>404</v>
      </c>
      <c r="C15" s="350"/>
    </row>
    <row r="16" spans="1:3" s="409" customFormat="1" ht="12" customHeight="1" x14ac:dyDescent="0.2">
      <c r="A16" s="496" t="s">
        <v>115</v>
      </c>
      <c r="B16" s="8" t="s">
        <v>284</v>
      </c>
      <c r="C16" s="399"/>
    </row>
    <row r="17" spans="1:3" s="504" customFormat="1" ht="12" customHeight="1" x14ac:dyDescent="0.2">
      <c r="A17" s="496" t="s">
        <v>116</v>
      </c>
      <c r="B17" s="8" t="s">
        <v>285</v>
      </c>
      <c r="C17" s="350"/>
    </row>
    <row r="18" spans="1:3" s="504" customFormat="1" ht="12" customHeight="1" x14ac:dyDescent="0.2">
      <c r="A18" s="496" t="s">
        <v>117</v>
      </c>
      <c r="B18" s="8" t="s">
        <v>440</v>
      </c>
      <c r="C18" s="351"/>
    </row>
    <row r="19" spans="1:3" s="504" customFormat="1" ht="12" customHeight="1" thickBot="1" x14ac:dyDescent="0.25">
      <c r="A19" s="496" t="s">
        <v>118</v>
      </c>
      <c r="B19" s="7" t="s">
        <v>286</v>
      </c>
      <c r="C19" s="351"/>
    </row>
    <row r="20" spans="1:3" s="409" customFormat="1" ht="12" customHeight="1" thickBot="1" x14ac:dyDescent="0.25">
      <c r="A20" s="223" t="s">
        <v>19</v>
      </c>
      <c r="B20" s="266" t="s">
        <v>405</v>
      </c>
      <c r="C20" s="352">
        <f>SUM(C21:C23)</f>
        <v>0</v>
      </c>
    </row>
    <row r="21" spans="1:3" s="504" customFormat="1" ht="12" customHeight="1" x14ac:dyDescent="0.2">
      <c r="A21" s="496" t="s">
        <v>106</v>
      </c>
      <c r="B21" s="9" t="s">
        <v>258</v>
      </c>
      <c r="C21" s="350"/>
    </row>
    <row r="22" spans="1:3" s="504" customFormat="1" ht="12" customHeight="1" x14ac:dyDescent="0.2">
      <c r="A22" s="496" t="s">
        <v>107</v>
      </c>
      <c r="B22" s="8" t="s">
        <v>406</v>
      </c>
      <c r="C22" s="350"/>
    </row>
    <row r="23" spans="1:3" s="504" customFormat="1" ht="12" customHeight="1" x14ac:dyDescent="0.2">
      <c r="A23" s="496" t="s">
        <v>108</v>
      </c>
      <c r="B23" s="8" t="s">
        <v>407</v>
      </c>
      <c r="C23" s="350"/>
    </row>
    <row r="24" spans="1:3" s="504" customFormat="1" ht="12" customHeight="1" thickBot="1" x14ac:dyDescent="0.25">
      <c r="A24" s="496" t="s">
        <v>109</v>
      </c>
      <c r="B24" s="8" t="s">
        <v>527</v>
      </c>
      <c r="C24" s="350"/>
    </row>
    <row r="25" spans="1:3" s="504" customFormat="1" ht="12" customHeight="1" thickBot="1" x14ac:dyDescent="0.25">
      <c r="A25" s="230" t="s">
        <v>20</v>
      </c>
      <c r="B25" s="150" t="s">
        <v>172</v>
      </c>
      <c r="C25" s="379"/>
    </row>
    <row r="26" spans="1:3" s="504" customFormat="1" ht="12" customHeight="1" thickBot="1" x14ac:dyDescent="0.25">
      <c r="A26" s="230" t="s">
        <v>21</v>
      </c>
      <c r="B26" s="150" t="s">
        <v>408</v>
      </c>
      <c r="C26" s="352">
        <f>+C27+C28</f>
        <v>0</v>
      </c>
    </row>
    <row r="27" spans="1:3" s="504" customFormat="1" ht="12" customHeight="1" x14ac:dyDescent="0.2">
      <c r="A27" s="497" t="s">
        <v>268</v>
      </c>
      <c r="B27" s="498" t="s">
        <v>406</v>
      </c>
      <c r="C27" s="94"/>
    </row>
    <row r="28" spans="1:3" s="504" customFormat="1" ht="12" customHeight="1" x14ac:dyDescent="0.2">
      <c r="A28" s="497" t="s">
        <v>269</v>
      </c>
      <c r="B28" s="499" t="s">
        <v>409</v>
      </c>
      <c r="C28" s="353"/>
    </row>
    <row r="29" spans="1:3" s="504" customFormat="1" ht="12" customHeight="1" thickBot="1" x14ac:dyDescent="0.25">
      <c r="A29" s="496" t="s">
        <v>270</v>
      </c>
      <c r="B29" s="166" t="s">
        <v>528</v>
      </c>
      <c r="C29" s="101"/>
    </row>
    <row r="30" spans="1:3" s="504" customFormat="1" ht="12" customHeight="1" thickBot="1" x14ac:dyDescent="0.25">
      <c r="A30" s="230" t="s">
        <v>22</v>
      </c>
      <c r="B30" s="150" t="s">
        <v>410</v>
      </c>
      <c r="C30" s="352">
        <f>+C31+C32+C33</f>
        <v>0</v>
      </c>
    </row>
    <row r="31" spans="1:3" s="504" customFormat="1" ht="12" customHeight="1" x14ac:dyDescent="0.2">
      <c r="A31" s="497" t="s">
        <v>93</v>
      </c>
      <c r="B31" s="498" t="s">
        <v>291</v>
      </c>
      <c r="C31" s="94"/>
    </row>
    <row r="32" spans="1:3" s="504" customFormat="1" ht="12" customHeight="1" x14ac:dyDescent="0.2">
      <c r="A32" s="497" t="s">
        <v>94</v>
      </c>
      <c r="B32" s="499" t="s">
        <v>292</v>
      </c>
      <c r="C32" s="353"/>
    </row>
    <row r="33" spans="1:3" s="504" customFormat="1" ht="12" customHeight="1" thickBot="1" x14ac:dyDescent="0.25">
      <c r="A33" s="496" t="s">
        <v>95</v>
      </c>
      <c r="B33" s="166" t="s">
        <v>293</v>
      </c>
      <c r="C33" s="101"/>
    </row>
    <row r="34" spans="1:3" s="409" customFormat="1" ht="12" customHeight="1" thickBot="1" x14ac:dyDescent="0.25">
      <c r="A34" s="230" t="s">
        <v>23</v>
      </c>
      <c r="B34" s="150" t="s">
        <v>379</v>
      </c>
      <c r="C34" s="379"/>
    </row>
    <row r="35" spans="1:3" s="409" customFormat="1" ht="12" customHeight="1" thickBot="1" x14ac:dyDescent="0.25">
      <c r="A35" s="230" t="s">
        <v>24</v>
      </c>
      <c r="B35" s="150" t="s">
        <v>411</v>
      </c>
      <c r="C35" s="400"/>
    </row>
    <row r="36" spans="1:3" s="409" customFormat="1" ht="12" customHeight="1" thickBot="1" x14ac:dyDescent="0.25">
      <c r="A36" s="223" t="s">
        <v>25</v>
      </c>
      <c r="B36" s="150" t="s">
        <v>529</v>
      </c>
      <c r="C36" s="401">
        <f>+C8+C20+C25+C26+C30+C34+C35</f>
        <v>0</v>
      </c>
    </row>
    <row r="37" spans="1:3" s="409" customFormat="1" ht="12" customHeight="1" thickBot="1" x14ac:dyDescent="0.25">
      <c r="A37" s="267" t="s">
        <v>26</v>
      </c>
      <c r="B37" s="150" t="s">
        <v>413</v>
      </c>
      <c r="C37" s="401">
        <f>+C38+C39+C40</f>
        <v>114999846</v>
      </c>
    </row>
    <row r="38" spans="1:3" s="409" customFormat="1" ht="12" customHeight="1" x14ac:dyDescent="0.2">
      <c r="A38" s="497" t="s">
        <v>414</v>
      </c>
      <c r="B38" s="498" t="s">
        <v>236</v>
      </c>
      <c r="C38" s="94">
        <f>'9.5.1. sz. mell OVI'!C38+'9.5.2. sz. mell OVI'!C38+'9.5.3. sz. mell OVI'!C38</f>
        <v>0</v>
      </c>
    </row>
    <row r="39" spans="1:3" s="409" customFormat="1" ht="12" customHeight="1" x14ac:dyDescent="0.2">
      <c r="A39" s="497" t="s">
        <v>415</v>
      </c>
      <c r="B39" s="499" t="s">
        <v>2</v>
      </c>
      <c r="C39" s="353"/>
    </row>
    <row r="40" spans="1:3" s="504" customFormat="1" ht="12" customHeight="1" thickBot="1" x14ac:dyDescent="0.25">
      <c r="A40" s="496" t="s">
        <v>416</v>
      </c>
      <c r="B40" s="166" t="s">
        <v>417</v>
      </c>
      <c r="C40" s="101">
        <f>'9.5.1. sz. mell OVI'!C40+'9.5.2. sz. mell OVI'!C40+'9.5.3. sz. mell OVI'!C40</f>
        <v>114999846</v>
      </c>
    </row>
    <row r="41" spans="1:3" s="504" customFormat="1" ht="15" customHeight="1" thickBot="1" x14ac:dyDescent="0.25">
      <c r="A41" s="267" t="s">
        <v>27</v>
      </c>
      <c r="B41" s="268" t="s">
        <v>418</v>
      </c>
      <c r="C41" s="404">
        <f>+C36+C37</f>
        <v>114999846</v>
      </c>
    </row>
    <row r="42" spans="1:3" s="504" customFormat="1" ht="15" customHeight="1" x14ac:dyDescent="0.2">
      <c r="A42" s="269"/>
      <c r="B42" s="270"/>
      <c r="C42" s="402"/>
    </row>
    <row r="43" spans="1:3" ht="13.5" thickBot="1" x14ac:dyDescent="0.25">
      <c r="A43" s="271"/>
      <c r="B43" s="272"/>
      <c r="C43" s="403"/>
    </row>
    <row r="44" spans="1:3" s="503" customFormat="1" ht="16.5" customHeight="1" thickBot="1" x14ac:dyDescent="0.25">
      <c r="A44" s="273"/>
      <c r="B44" s="274" t="s">
        <v>58</v>
      </c>
      <c r="C44" s="404"/>
    </row>
    <row r="45" spans="1:3" s="505" customFormat="1" ht="12" customHeight="1" thickBot="1" x14ac:dyDescent="0.25">
      <c r="A45" s="230" t="s">
        <v>18</v>
      </c>
      <c r="B45" s="150" t="s">
        <v>419</v>
      </c>
      <c r="C45" s="352">
        <f>SUM(C46:C50)</f>
        <v>114599846</v>
      </c>
    </row>
    <row r="46" spans="1:3" ht="12" customHeight="1" x14ac:dyDescent="0.2">
      <c r="A46" s="496" t="s">
        <v>100</v>
      </c>
      <c r="B46" s="9" t="s">
        <v>49</v>
      </c>
      <c r="C46" s="94">
        <f>'9.5.1. sz. mell OVI'!C46</f>
        <v>79010927</v>
      </c>
    </row>
    <row r="47" spans="1:3" ht="12" customHeight="1" x14ac:dyDescent="0.2">
      <c r="A47" s="496" t="s">
        <v>101</v>
      </c>
      <c r="B47" s="8" t="s">
        <v>181</v>
      </c>
      <c r="C47" s="94">
        <f>'9.5.1. sz. mell OVI'!C47</f>
        <v>18279519</v>
      </c>
    </row>
    <row r="48" spans="1:3" ht="12" customHeight="1" x14ac:dyDescent="0.2">
      <c r="A48" s="496" t="s">
        <v>102</v>
      </c>
      <c r="B48" s="8" t="s">
        <v>142</v>
      </c>
      <c r="C48" s="94">
        <f>'9.5.1. sz. mell OVI'!C48</f>
        <v>17309400</v>
      </c>
    </row>
    <row r="49" spans="1:3" ht="12" customHeight="1" x14ac:dyDescent="0.2">
      <c r="A49" s="496" t="s">
        <v>103</v>
      </c>
      <c r="B49" s="8" t="s">
        <v>182</v>
      </c>
      <c r="C49" s="94">
        <f>'9.5.1. sz. mell OVI'!C49</f>
        <v>0</v>
      </c>
    </row>
    <row r="50" spans="1:3" ht="12" customHeight="1" thickBot="1" x14ac:dyDescent="0.25">
      <c r="A50" s="496" t="s">
        <v>149</v>
      </c>
      <c r="B50" s="8" t="s">
        <v>183</v>
      </c>
      <c r="C50" s="94">
        <f>'9.5.1. sz. mell OVI'!C50</f>
        <v>0</v>
      </c>
    </row>
    <row r="51" spans="1:3" ht="12" customHeight="1" thickBot="1" x14ac:dyDescent="0.25">
      <c r="A51" s="230" t="s">
        <v>19</v>
      </c>
      <c r="B51" s="150" t="s">
        <v>420</v>
      </c>
      <c r="C51" s="352">
        <f>SUM(C52:C54)</f>
        <v>400000</v>
      </c>
    </row>
    <row r="52" spans="1:3" s="505" customFormat="1" ht="12" customHeight="1" x14ac:dyDescent="0.2">
      <c r="A52" s="496" t="s">
        <v>106</v>
      </c>
      <c r="B52" s="9" t="s">
        <v>226</v>
      </c>
      <c r="C52" s="94">
        <f>'9.5.1. sz. mell OVI'!C52</f>
        <v>400000</v>
      </c>
    </row>
    <row r="53" spans="1:3" ht="12" customHeight="1" x14ac:dyDescent="0.2">
      <c r="A53" s="496" t="s">
        <v>107</v>
      </c>
      <c r="B53" s="8" t="s">
        <v>185</v>
      </c>
      <c r="C53" s="97"/>
    </row>
    <row r="54" spans="1:3" ht="12" customHeight="1" x14ac:dyDescent="0.2">
      <c r="A54" s="496" t="s">
        <v>108</v>
      </c>
      <c r="B54" s="8" t="s">
        <v>59</v>
      </c>
      <c r="C54" s="97"/>
    </row>
    <row r="55" spans="1:3" ht="12" customHeight="1" thickBot="1" x14ac:dyDescent="0.25">
      <c r="A55" s="496" t="s">
        <v>109</v>
      </c>
      <c r="B55" s="8" t="s">
        <v>526</v>
      </c>
      <c r="C55" s="97"/>
    </row>
    <row r="56" spans="1:3" ht="15" customHeight="1" thickBot="1" x14ac:dyDescent="0.25">
      <c r="A56" s="230" t="s">
        <v>20</v>
      </c>
      <c r="B56" s="150" t="s">
        <v>12</v>
      </c>
      <c r="C56" s="379"/>
    </row>
    <row r="57" spans="1:3" ht="13.5" thickBot="1" x14ac:dyDescent="0.25">
      <c r="A57" s="230" t="s">
        <v>21</v>
      </c>
      <c r="B57" s="275" t="s">
        <v>533</v>
      </c>
      <c r="C57" s="405">
        <f>+C45+C51+C56</f>
        <v>114999846</v>
      </c>
    </row>
    <row r="58" spans="1:3" ht="15" customHeight="1" thickBot="1" x14ac:dyDescent="0.25">
      <c r="C58" s="406"/>
    </row>
    <row r="59" spans="1:3" ht="14.25" customHeight="1" thickBot="1" x14ac:dyDescent="0.25">
      <c r="A59" s="278" t="s">
        <v>521</v>
      </c>
      <c r="B59" s="279"/>
      <c r="C59" s="147"/>
    </row>
    <row r="60" spans="1:3" ht="13.5" thickBot="1" x14ac:dyDescent="0.25">
      <c r="A60" s="278" t="s">
        <v>204</v>
      </c>
      <c r="B60" s="279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16" zoomScaleNormal="100" workbookViewId="0">
      <selection activeCell="C37" sqref="C37:C57"/>
    </sheetView>
  </sheetViews>
  <sheetFormatPr defaultRowHeight="12.75" x14ac:dyDescent="0.2"/>
  <cols>
    <col min="1" max="1" width="13.83203125" style="276" customWidth="1"/>
    <col min="2" max="2" width="79.1640625" style="277" customWidth="1"/>
    <col min="3" max="3" width="25" style="277" customWidth="1"/>
    <col min="4" max="16384" width="9.33203125" style="277"/>
  </cols>
  <sheetData>
    <row r="1" spans="1:3" s="256" customFormat="1" ht="21" customHeight="1" thickBot="1" x14ac:dyDescent="0.25">
      <c r="A1" s="255"/>
      <c r="B1" s="257"/>
      <c r="C1" s="500" t="str">
        <f>+CONCATENATE("9.5.1. melléklet a 6/",LEFT(ÖSSZEFÜGGÉSEK!A5,4),". (III. 13.) önkormányzati rendelethez")</f>
        <v>9.5.1. melléklet a 6/2017. (III. 13.) önkormányzati rendelethez</v>
      </c>
    </row>
    <row r="2" spans="1:3" s="501" customFormat="1" ht="25.5" customHeight="1" x14ac:dyDescent="0.2">
      <c r="A2" s="451" t="s">
        <v>202</v>
      </c>
      <c r="B2" s="393" t="s">
        <v>573</v>
      </c>
      <c r="C2" s="407" t="s">
        <v>577</v>
      </c>
    </row>
    <row r="3" spans="1:3" s="501" customFormat="1" ht="24.75" thickBot="1" x14ac:dyDescent="0.25">
      <c r="A3" s="494" t="s">
        <v>201</v>
      </c>
      <c r="B3" s="394" t="s">
        <v>421</v>
      </c>
      <c r="C3" s="408" t="s">
        <v>54</v>
      </c>
    </row>
    <row r="4" spans="1:3" s="502" customFormat="1" ht="15.95" customHeight="1" thickBot="1" x14ac:dyDescent="0.3">
      <c r="A4" s="259"/>
      <c r="B4" s="259"/>
      <c r="C4" s="260" t="s">
        <v>55</v>
      </c>
    </row>
    <row r="5" spans="1:3" ht="13.5" thickBot="1" x14ac:dyDescent="0.25">
      <c r="A5" s="452" t="s">
        <v>203</v>
      </c>
      <c r="B5" s="261" t="s">
        <v>567</v>
      </c>
      <c r="C5" s="262" t="s">
        <v>56</v>
      </c>
    </row>
    <row r="6" spans="1:3" s="503" customFormat="1" ht="12.95" customHeight="1" thickBot="1" x14ac:dyDescent="0.25">
      <c r="A6" s="223"/>
      <c r="B6" s="224" t="s">
        <v>496</v>
      </c>
      <c r="C6" s="225" t="s">
        <v>497</v>
      </c>
    </row>
    <row r="7" spans="1:3" s="503" customFormat="1" ht="15.95" customHeight="1" thickBot="1" x14ac:dyDescent="0.25">
      <c r="A7" s="263"/>
      <c r="B7" s="264" t="s">
        <v>57</v>
      </c>
      <c r="C7" s="265"/>
    </row>
    <row r="8" spans="1:3" s="409" customFormat="1" ht="12" customHeight="1" thickBot="1" x14ac:dyDescent="0.25">
      <c r="A8" s="223" t="s">
        <v>18</v>
      </c>
      <c r="B8" s="266" t="s">
        <v>522</v>
      </c>
      <c r="C8" s="352">
        <f>SUM(C9:C19)</f>
        <v>0</v>
      </c>
    </row>
    <row r="9" spans="1:3" s="409" customFormat="1" ht="12" customHeight="1" x14ac:dyDescent="0.2">
      <c r="A9" s="495" t="s">
        <v>100</v>
      </c>
      <c r="B9" s="10" t="s">
        <v>277</v>
      </c>
      <c r="C9" s="398"/>
    </row>
    <row r="10" spans="1:3" s="409" customFormat="1" ht="12" customHeight="1" x14ac:dyDescent="0.2">
      <c r="A10" s="496" t="s">
        <v>101</v>
      </c>
      <c r="B10" s="8" t="s">
        <v>278</v>
      </c>
      <c r="C10" s="350"/>
    </row>
    <row r="11" spans="1:3" s="409" customFormat="1" ht="12" customHeight="1" x14ac:dyDescent="0.2">
      <c r="A11" s="496" t="s">
        <v>102</v>
      </c>
      <c r="B11" s="8" t="s">
        <v>279</v>
      </c>
      <c r="C11" s="350"/>
    </row>
    <row r="12" spans="1:3" s="409" customFormat="1" ht="12" customHeight="1" x14ac:dyDescent="0.2">
      <c r="A12" s="496" t="s">
        <v>103</v>
      </c>
      <c r="B12" s="8" t="s">
        <v>280</v>
      </c>
      <c r="C12" s="350"/>
    </row>
    <row r="13" spans="1:3" s="409" customFormat="1" ht="12" customHeight="1" x14ac:dyDescent="0.2">
      <c r="A13" s="496" t="s">
        <v>149</v>
      </c>
      <c r="B13" s="8" t="s">
        <v>281</v>
      </c>
      <c r="C13" s="350"/>
    </row>
    <row r="14" spans="1:3" s="409" customFormat="1" ht="12" customHeight="1" x14ac:dyDescent="0.2">
      <c r="A14" s="496" t="s">
        <v>104</v>
      </c>
      <c r="B14" s="8" t="s">
        <v>403</v>
      </c>
      <c r="C14" s="350"/>
    </row>
    <row r="15" spans="1:3" s="409" customFormat="1" ht="12" customHeight="1" x14ac:dyDescent="0.2">
      <c r="A15" s="496" t="s">
        <v>105</v>
      </c>
      <c r="B15" s="7" t="s">
        <v>404</v>
      </c>
      <c r="C15" s="350"/>
    </row>
    <row r="16" spans="1:3" s="409" customFormat="1" ht="12" customHeight="1" x14ac:dyDescent="0.2">
      <c r="A16" s="496" t="s">
        <v>115</v>
      </c>
      <c r="B16" s="8" t="s">
        <v>284</v>
      </c>
      <c r="C16" s="399"/>
    </row>
    <row r="17" spans="1:3" s="504" customFormat="1" ht="12" customHeight="1" x14ac:dyDescent="0.2">
      <c r="A17" s="496" t="s">
        <v>116</v>
      </c>
      <c r="B17" s="8" t="s">
        <v>285</v>
      </c>
      <c r="C17" s="350"/>
    </row>
    <row r="18" spans="1:3" s="504" customFormat="1" ht="12" customHeight="1" x14ac:dyDescent="0.2">
      <c r="A18" s="496" t="s">
        <v>117</v>
      </c>
      <c r="B18" s="8" t="s">
        <v>440</v>
      </c>
      <c r="C18" s="351"/>
    </row>
    <row r="19" spans="1:3" s="504" customFormat="1" ht="12" customHeight="1" thickBot="1" x14ac:dyDescent="0.25">
      <c r="A19" s="496" t="s">
        <v>118</v>
      </c>
      <c r="B19" s="7" t="s">
        <v>286</v>
      </c>
      <c r="C19" s="351"/>
    </row>
    <row r="20" spans="1:3" s="409" customFormat="1" ht="12" customHeight="1" thickBot="1" x14ac:dyDescent="0.25">
      <c r="A20" s="223" t="s">
        <v>19</v>
      </c>
      <c r="B20" s="266" t="s">
        <v>405</v>
      </c>
      <c r="C20" s="352">
        <f>SUM(C21:C23)</f>
        <v>0</v>
      </c>
    </row>
    <row r="21" spans="1:3" s="504" customFormat="1" ht="12" customHeight="1" x14ac:dyDescent="0.2">
      <c r="A21" s="496" t="s">
        <v>106</v>
      </c>
      <c r="B21" s="9" t="s">
        <v>258</v>
      </c>
      <c r="C21" s="350"/>
    </row>
    <row r="22" spans="1:3" s="504" customFormat="1" ht="12" customHeight="1" x14ac:dyDescent="0.2">
      <c r="A22" s="496" t="s">
        <v>107</v>
      </c>
      <c r="B22" s="8" t="s">
        <v>406</v>
      </c>
      <c r="C22" s="350"/>
    </row>
    <row r="23" spans="1:3" s="504" customFormat="1" ht="12" customHeight="1" x14ac:dyDescent="0.2">
      <c r="A23" s="496" t="s">
        <v>108</v>
      </c>
      <c r="B23" s="8" t="s">
        <v>407</v>
      </c>
      <c r="C23" s="350"/>
    </row>
    <row r="24" spans="1:3" s="504" customFormat="1" ht="12" customHeight="1" thickBot="1" x14ac:dyDescent="0.25">
      <c r="A24" s="496" t="s">
        <v>109</v>
      </c>
      <c r="B24" s="8" t="s">
        <v>527</v>
      </c>
      <c r="C24" s="350"/>
    </row>
    <row r="25" spans="1:3" s="504" customFormat="1" ht="12" customHeight="1" thickBot="1" x14ac:dyDescent="0.25">
      <c r="A25" s="230" t="s">
        <v>20</v>
      </c>
      <c r="B25" s="150" t="s">
        <v>172</v>
      </c>
      <c r="C25" s="379"/>
    </row>
    <row r="26" spans="1:3" s="504" customFormat="1" ht="12" customHeight="1" thickBot="1" x14ac:dyDescent="0.25">
      <c r="A26" s="230" t="s">
        <v>21</v>
      </c>
      <c r="B26" s="150" t="s">
        <v>408</v>
      </c>
      <c r="C26" s="352">
        <f>+C27+C28</f>
        <v>0</v>
      </c>
    </row>
    <row r="27" spans="1:3" s="504" customFormat="1" ht="12" customHeight="1" x14ac:dyDescent="0.2">
      <c r="A27" s="497" t="s">
        <v>268</v>
      </c>
      <c r="B27" s="498" t="s">
        <v>406</v>
      </c>
      <c r="C27" s="94"/>
    </row>
    <row r="28" spans="1:3" s="504" customFormat="1" ht="12" customHeight="1" x14ac:dyDescent="0.2">
      <c r="A28" s="497" t="s">
        <v>269</v>
      </c>
      <c r="B28" s="499" t="s">
        <v>409</v>
      </c>
      <c r="C28" s="353"/>
    </row>
    <row r="29" spans="1:3" s="504" customFormat="1" ht="12" customHeight="1" thickBot="1" x14ac:dyDescent="0.25">
      <c r="A29" s="496" t="s">
        <v>270</v>
      </c>
      <c r="B29" s="166" t="s">
        <v>528</v>
      </c>
      <c r="C29" s="101"/>
    </row>
    <row r="30" spans="1:3" s="504" customFormat="1" ht="12" customHeight="1" thickBot="1" x14ac:dyDescent="0.25">
      <c r="A30" s="230" t="s">
        <v>22</v>
      </c>
      <c r="B30" s="150" t="s">
        <v>410</v>
      </c>
      <c r="C30" s="352">
        <f>+C31+C32+C33</f>
        <v>0</v>
      </c>
    </row>
    <row r="31" spans="1:3" s="504" customFormat="1" ht="12" customHeight="1" x14ac:dyDescent="0.2">
      <c r="A31" s="497" t="s">
        <v>93</v>
      </c>
      <c r="B31" s="498" t="s">
        <v>291</v>
      </c>
      <c r="C31" s="94"/>
    </row>
    <row r="32" spans="1:3" s="504" customFormat="1" ht="12" customHeight="1" x14ac:dyDescent="0.2">
      <c r="A32" s="497" t="s">
        <v>94</v>
      </c>
      <c r="B32" s="499" t="s">
        <v>292</v>
      </c>
      <c r="C32" s="353"/>
    </row>
    <row r="33" spans="1:3" s="504" customFormat="1" ht="12" customHeight="1" thickBot="1" x14ac:dyDescent="0.25">
      <c r="A33" s="496" t="s">
        <v>95</v>
      </c>
      <c r="B33" s="166" t="s">
        <v>293</v>
      </c>
      <c r="C33" s="101"/>
    </row>
    <row r="34" spans="1:3" s="409" customFormat="1" ht="12" customHeight="1" thickBot="1" x14ac:dyDescent="0.25">
      <c r="A34" s="230" t="s">
        <v>23</v>
      </c>
      <c r="B34" s="150" t="s">
        <v>379</v>
      </c>
      <c r="C34" s="379"/>
    </row>
    <row r="35" spans="1:3" s="409" customFormat="1" ht="12" customHeight="1" thickBot="1" x14ac:dyDescent="0.25">
      <c r="A35" s="230" t="s">
        <v>24</v>
      </c>
      <c r="B35" s="150" t="s">
        <v>411</v>
      </c>
      <c r="C35" s="400"/>
    </row>
    <row r="36" spans="1:3" s="409" customFormat="1" ht="12" customHeight="1" thickBot="1" x14ac:dyDescent="0.25">
      <c r="A36" s="223" t="s">
        <v>25</v>
      </c>
      <c r="B36" s="150" t="s">
        <v>529</v>
      </c>
      <c r="C36" s="401">
        <f>+C8+C20+C25+C26+C30+C34+C35</f>
        <v>0</v>
      </c>
    </row>
    <row r="37" spans="1:3" s="409" customFormat="1" ht="12" customHeight="1" thickBot="1" x14ac:dyDescent="0.25">
      <c r="A37" s="267" t="s">
        <v>26</v>
      </c>
      <c r="B37" s="150" t="s">
        <v>413</v>
      </c>
      <c r="C37" s="401">
        <f>+C38+C39+C40</f>
        <v>114999846</v>
      </c>
    </row>
    <row r="38" spans="1:3" s="409" customFormat="1" ht="12" customHeight="1" x14ac:dyDescent="0.2">
      <c r="A38" s="497" t="s">
        <v>414</v>
      </c>
      <c r="B38" s="498" t="s">
        <v>236</v>
      </c>
      <c r="C38" s="94"/>
    </row>
    <row r="39" spans="1:3" s="409" customFormat="1" ht="12" customHeight="1" x14ac:dyDescent="0.2">
      <c r="A39" s="497" t="s">
        <v>415</v>
      </c>
      <c r="B39" s="499" t="s">
        <v>2</v>
      </c>
      <c r="C39" s="353"/>
    </row>
    <row r="40" spans="1:3" s="504" customFormat="1" ht="12" customHeight="1" thickBot="1" x14ac:dyDescent="0.25">
      <c r="A40" s="496" t="s">
        <v>416</v>
      </c>
      <c r="B40" s="166" t="s">
        <v>417</v>
      </c>
      <c r="C40" s="101">
        <f>C57-C36</f>
        <v>114999846</v>
      </c>
    </row>
    <row r="41" spans="1:3" s="504" customFormat="1" ht="15" customHeight="1" thickBot="1" x14ac:dyDescent="0.25">
      <c r="A41" s="267" t="s">
        <v>27</v>
      </c>
      <c r="B41" s="268" t="s">
        <v>418</v>
      </c>
      <c r="C41" s="404">
        <f>+C36+C37</f>
        <v>114999846</v>
      </c>
    </row>
    <row r="42" spans="1:3" s="504" customFormat="1" ht="15" customHeight="1" x14ac:dyDescent="0.2">
      <c r="A42" s="269"/>
      <c r="B42" s="270"/>
      <c r="C42" s="402"/>
    </row>
    <row r="43" spans="1:3" ht="13.5" thickBot="1" x14ac:dyDescent="0.25">
      <c r="A43" s="271"/>
      <c r="B43" s="272"/>
      <c r="C43" s="403"/>
    </row>
    <row r="44" spans="1:3" s="503" customFormat="1" ht="16.5" customHeight="1" thickBot="1" x14ac:dyDescent="0.25">
      <c r="A44" s="273"/>
      <c r="B44" s="274" t="s">
        <v>58</v>
      </c>
      <c r="C44" s="404"/>
    </row>
    <row r="45" spans="1:3" s="505" customFormat="1" ht="12" customHeight="1" thickBot="1" x14ac:dyDescent="0.25">
      <c r="A45" s="230" t="s">
        <v>18</v>
      </c>
      <c r="B45" s="150" t="s">
        <v>419</v>
      </c>
      <c r="C45" s="352">
        <f>SUM(C46:C50)</f>
        <v>114599846</v>
      </c>
    </row>
    <row r="46" spans="1:3" ht="12" customHeight="1" x14ac:dyDescent="0.2">
      <c r="A46" s="496" t="s">
        <v>100</v>
      </c>
      <c r="B46" s="9" t="s">
        <v>49</v>
      </c>
      <c r="C46" s="94">
        <f>78652430+300000+1640834-1582337</f>
        <v>79010927</v>
      </c>
    </row>
    <row r="47" spans="1:3" ht="12" customHeight="1" x14ac:dyDescent="0.2">
      <c r="A47" s="496" t="s">
        <v>101</v>
      </c>
      <c r="B47" s="8" t="s">
        <v>181</v>
      </c>
      <c r="C47" s="97">
        <f>17718535+200000+360984</f>
        <v>18279519</v>
      </c>
    </row>
    <row r="48" spans="1:3" ht="12" customHeight="1" x14ac:dyDescent="0.2">
      <c r="A48" s="496" t="s">
        <v>102</v>
      </c>
      <c r="B48" s="8" t="s">
        <v>142</v>
      </c>
      <c r="C48" s="97">
        <f>13079400+2647663+1582337</f>
        <v>17309400</v>
      </c>
    </row>
    <row r="49" spans="1:3" ht="12" customHeight="1" x14ac:dyDescent="0.2">
      <c r="A49" s="496" t="s">
        <v>103</v>
      </c>
      <c r="B49" s="8" t="s">
        <v>182</v>
      </c>
      <c r="C49" s="97"/>
    </row>
    <row r="50" spans="1:3" ht="12" customHeight="1" thickBot="1" x14ac:dyDescent="0.25">
      <c r="A50" s="496" t="s">
        <v>149</v>
      </c>
      <c r="B50" s="8" t="s">
        <v>183</v>
      </c>
      <c r="C50" s="97"/>
    </row>
    <row r="51" spans="1:3" ht="12" customHeight="1" thickBot="1" x14ac:dyDescent="0.25">
      <c r="A51" s="230" t="s">
        <v>19</v>
      </c>
      <c r="B51" s="150" t="s">
        <v>420</v>
      </c>
      <c r="C51" s="352">
        <f>SUM(C52:C54)</f>
        <v>400000</v>
      </c>
    </row>
    <row r="52" spans="1:3" s="505" customFormat="1" ht="12" customHeight="1" x14ac:dyDescent="0.2">
      <c r="A52" s="496" t="s">
        <v>106</v>
      </c>
      <c r="B52" s="9" t="s">
        <v>226</v>
      </c>
      <c r="C52" s="94">
        <v>400000</v>
      </c>
    </row>
    <row r="53" spans="1:3" ht="12" customHeight="1" x14ac:dyDescent="0.2">
      <c r="A53" s="496" t="s">
        <v>107</v>
      </c>
      <c r="B53" s="8" t="s">
        <v>185</v>
      </c>
      <c r="C53" s="97"/>
    </row>
    <row r="54" spans="1:3" ht="12" customHeight="1" x14ac:dyDescent="0.2">
      <c r="A54" s="496" t="s">
        <v>108</v>
      </c>
      <c r="B54" s="8" t="s">
        <v>59</v>
      </c>
      <c r="C54" s="97"/>
    </row>
    <row r="55" spans="1:3" ht="12" customHeight="1" thickBot="1" x14ac:dyDescent="0.25">
      <c r="A55" s="496" t="s">
        <v>109</v>
      </c>
      <c r="B55" s="8" t="s">
        <v>526</v>
      </c>
      <c r="C55" s="97"/>
    </row>
    <row r="56" spans="1:3" ht="15" customHeight="1" thickBot="1" x14ac:dyDescent="0.25">
      <c r="A56" s="230" t="s">
        <v>20</v>
      </c>
      <c r="B56" s="150" t="s">
        <v>12</v>
      </c>
      <c r="C56" s="379"/>
    </row>
    <row r="57" spans="1:3" ht="13.5" thickBot="1" x14ac:dyDescent="0.25">
      <c r="A57" s="230" t="s">
        <v>21</v>
      </c>
      <c r="B57" s="275" t="s">
        <v>533</v>
      </c>
      <c r="C57" s="405">
        <f>+C45+C51+C56</f>
        <v>114999846</v>
      </c>
    </row>
    <row r="58" spans="1:3" ht="15" customHeight="1" thickBot="1" x14ac:dyDescent="0.25">
      <c r="C58" s="406"/>
    </row>
    <row r="59" spans="1:3" ht="14.25" customHeight="1" thickBot="1" x14ac:dyDescent="0.25">
      <c r="A59" s="278" t="s">
        <v>521</v>
      </c>
      <c r="B59" s="279"/>
      <c r="C59" s="147">
        <v>31</v>
      </c>
    </row>
    <row r="60" spans="1:3" ht="13.5" thickBot="1" x14ac:dyDescent="0.25">
      <c r="A60" s="278" t="s">
        <v>204</v>
      </c>
      <c r="B60" s="279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49" zoomScaleNormal="100" workbookViewId="0">
      <selection activeCell="C2" sqref="C2"/>
    </sheetView>
  </sheetViews>
  <sheetFormatPr defaultRowHeight="12.75" x14ac:dyDescent="0.2"/>
  <cols>
    <col min="1" max="1" width="13.83203125" style="276" customWidth="1"/>
    <col min="2" max="2" width="79.1640625" style="277" customWidth="1"/>
    <col min="3" max="3" width="25" style="277" customWidth="1"/>
    <col min="4" max="16384" width="9.33203125" style="277"/>
  </cols>
  <sheetData>
    <row r="1" spans="1:3" s="256" customFormat="1" ht="21" customHeight="1" thickBot="1" x14ac:dyDescent="0.25">
      <c r="A1" s="255"/>
      <c r="B1" s="257"/>
      <c r="C1" s="500" t="str">
        <f>+CONCATENATE("9.5.2. melléklet a 6/",LEFT(ÖSSZEFÜGGÉSEK!A5,4),". (III. 13.) önkormányzati rendelethez")</f>
        <v>9.5.2. melléklet a 6/2017. (III. 13.) önkormányzati rendelethez</v>
      </c>
    </row>
    <row r="2" spans="1:3" s="501" customFormat="1" ht="25.5" customHeight="1" x14ac:dyDescent="0.2">
      <c r="A2" s="451" t="s">
        <v>202</v>
      </c>
      <c r="B2" s="393" t="s">
        <v>573</v>
      </c>
      <c r="C2" s="407" t="s">
        <v>577</v>
      </c>
    </row>
    <row r="3" spans="1:3" s="501" customFormat="1" ht="24.75" thickBot="1" x14ac:dyDescent="0.25">
      <c r="A3" s="494" t="s">
        <v>201</v>
      </c>
      <c r="B3" s="394" t="s">
        <v>422</v>
      </c>
      <c r="C3" s="408" t="s">
        <v>60</v>
      </c>
    </row>
    <row r="4" spans="1:3" s="502" customFormat="1" ht="15.95" customHeight="1" thickBot="1" x14ac:dyDescent="0.3">
      <c r="A4" s="259"/>
      <c r="B4" s="259"/>
      <c r="C4" s="260" t="s">
        <v>55</v>
      </c>
    </row>
    <row r="5" spans="1:3" ht="13.5" thickBot="1" x14ac:dyDescent="0.25">
      <c r="A5" s="452" t="s">
        <v>203</v>
      </c>
      <c r="B5" s="261" t="s">
        <v>567</v>
      </c>
      <c r="C5" s="262" t="s">
        <v>56</v>
      </c>
    </row>
    <row r="6" spans="1:3" s="503" customFormat="1" ht="12.95" customHeight="1" thickBot="1" x14ac:dyDescent="0.25">
      <c r="A6" s="223"/>
      <c r="B6" s="224" t="s">
        <v>496</v>
      </c>
      <c r="C6" s="225" t="s">
        <v>497</v>
      </c>
    </row>
    <row r="7" spans="1:3" s="503" customFormat="1" ht="15.95" customHeight="1" thickBot="1" x14ac:dyDescent="0.25">
      <c r="A7" s="263"/>
      <c r="B7" s="264" t="s">
        <v>57</v>
      </c>
      <c r="C7" s="265"/>
    </row>
    <row r="8" spans="1:3" s="409" customFormat="1" ht="12" customHeight="1" thickBot="1" x14ac:dyDescent="0.25">
      <c r="A8" s="223" t="s">
        <v>18</v>
      </c>
      <c r="B8" s="266" t="s">
        <v>522</v>
      </c>
      <c r="C8" s="352">
        <f>SUM(C9:C19)</f>
        <v>0</v>
      </c>
    </row>
    <row r="9" spans="1:3" s="409" customFormat="1" ht="12" customHeight="1" x14ac:dyDescent="0.2">
      <c r="A9" s="495" t="s">
        <v>100</v>
      </c>
      <c r="B9" s="10" t="s">
        <v>277</v>
      </c>
      <c r="C9" s="398"/>
    </row>
    <row r="10" spans="1:3" s="409" customFormat="1" ht="12" customHeight="1" x14ac:dyDescent="0.2">
      <c r="A10" s="496" t="s">
        <v>101</v>
      </c>
      <c r="B10" s="8" t="s">
        <v>278</v>
      </c>
      <c r="C10" s="350"/>
    </row>
    <row r="11" spans="1:3" s="409" customFormat="1" ht="12" customHeight="1" x14ac:dyDescent="0.2">
      <c r="A11" s="496" t="s">
        <v>102</v>
      </c>
      <c r="B11" s="8" t="s">
        <v>279</v>
      </c>
      <c r="C11" s="350"/>
    </row>
    <row r="12" spans="1:3" s="409" customFormat="1" ht="12" customHeight="1" x14ac:dyDescent="0.2">
      <c r="A12" s="496" t="s">
        <v>103</v>
      </c>
      <c r="B12" s="8" t="s">
        <v>280</v>
      </c>
      <c r="C12" s="350"/>
    </row>
    <row r="13" spans="1:3" s="409" customFormat="1" ht="12" customHeight="1" x14ac:dyDescent="0.2">
      <c r="A13" s="496" t="s">
        <v>149</v>
      </c>
      <c r="B13" s="8" t="s">
        <v>281</v>
      </c>
      <c r="C13" s="350"/>
    </row>
    <row r="14" spans="1:3" s="409" customFormat="1" ht="12" customHeight="1" x14ac:dyDescent="0.2">
      <c r="A14" s="496" t="s">
        <v>104</v>
      </c>
      <c r="B14" s="8" t="s">
        <v>403</v>
      </c>
      <c r="C14" s="350"/>
    </row>
    <row r="15" spans="1:3" s="409" customFormat="1" ht="12" customHeight="1" x14ac:dyDescent="0.2">
      <c r="A15" s="496" t="s">
        <v>105</v>
      </c>
      <c r="B15" s="7" t="s">
        <v>404</v>
      </c>
      <c r="C15" s="350"/>
    </row>
    <row r="16" spans="1:3" s="409" customFormat="1" ht="12" customHeight="1" x14ac:dyDescent="0.2">
      <c r="A16" s="496" t="s">
        <v>115</v>
      </c>
      <c r="B16" s="8" t="s">
        <v>284</v>
      </c>
      <c r="C16" s="399"/>
    </row>
    <row r="17" spans="1:3" s="504" customFormat="1" ht="12" customHeight="1" x14ac:dyDescent="0.2">
      <c r="A17" s="496" t="s">
        <v>116</v>
      </c>
      <c r="B17" s="8" t="s">
        <v>285</v>
      </c>
      <c r="C17" s="350"/>
    </row>
    <row r="18" spans="1:3" s="504" customFormat="1" ht="12" customHeight="1" x14ac:dyDescent="0.2">
      <c r="A18" s="496" t="s">
        <v>117</v>
      </c>
      <c r="B18" s="8" t="s">
        <v>440</v>
      </c>
      <c r="C18" s="351"/>
    </row>
    <row r="19" spans="1:3" s="504" customFormat="1" ht="12" customHeight="1" thickBot="1" x14ac:dyDescent="0.25">
      <c r="A19" s="496" t="s">
        <v>118</v>
      </c>
      <c r="B19" s="7" t="s">
        <v>286</v>
      </c>
      <c r="C19" s="351"/>
    </row>
    <row r="20" spans="1:3" s="409" customFormat="1" ht="12" customHeight="1" thickBot="1" x14ac:dyDescent="0.25">
      <c r="A20" s="223" t="s">
        <v>19</v>
      </c>
      <c r="B20" s="266" t="s">
        <v>405</v>
      </c>
      <c r="C20" s="352">
        <f>SUM(C21:C23)</f>
        <v>0</v>
      </c>
    </row>
    <row r="21" spans="1:3" s="504" customFormat="1" ht="12" customHeight="1" x14ac:dyDescent="0.2">
      <c r="A21" s="496" t="s">
        <v>106</v>
      </c>
      <c r="B21" s="9" t="s">
        <v>258</v>
      </c>
      <c r="C21" s="350"/>
    </row>
    <row r="22" spans="1:3" s="504" customFormat="1" ht="12" customHeight="1" x14ac:dyDescent="0.2">
      <c r="A22" s="496" t="s">
        <v>107</v>
      </c>
      <c r="B22" s="8" t="s">
        <v>406</v>
      </c>
      <c r="C22" s="350"/>
    </row>
    <row r="23" spans="1:3" s="504" customFormat="1" ht="12" customHeight="1" x14ac:dyDescent="0.2">
      <c r="A23" s="496" t="s">
        <v>108</v>
      </c>
      <c r="B23" s="8" t="s">
        <v>407</v>
      </c>
      <c r="C23" s="350"/>
    </row>
    <row r="24" spans="1:3" s="504" customFormat="1" ht="12" customHeight="1" thickBot="1" x14ac:dyDescent="0.25">
      <c r="A24" s="496" t="s">
        <v>109</v>
      </c>
      <c r="B24" s="8" t="s">
        <v>527</v>
      </c>
      <c r="C24" s="350"/>
    </row>
    <row r="25" spans="1:3" s="504" customFormat="1" ht="12" customHeight="1" thickBot="1" x14ac:dyDescent="0.25">
      <c r="A25" s="230" t="s">
        <v>20</v>
      </c>
      <c r="B25" s="150" t="s">
        <v>172</v>
      </c>
      <c r="C25" s="379"/>
    </row>
    <row r="26" spans="1:3" s="504" customFormat="1" ht="12" customHeight="1" thickBot="1" x14ac:dyDescent="0.25">
      <c r="A26" s="230" t="s">
        <v>21</v>
      </c>
      <c r="B26" s="150" t="s">
        <v>408</v>
      </c>
      <c r="C26" s="352">
        <f>+C27+C28</f>
        <v>0</v>
      </c>
    </row>
    <row r="27" spans="1:3" s="504" customFormat="1" ht="12" customHeight="1" x14ac:dyDescent="0.2">
      <c r="A27" s="497" t="s">
        <v>268</v>
      </c>
      <c r="B27" s="498" t="s">
        <v>406</v>
      </c>
      <c r="C27" s="94"/>
    </row>
    <row r="28" spans="1:3" s="504" customFormat="1" ht="12" customHeight="1" x14ac:dyDescent="0.2">
      <c r="A28" s="497" t="s">
        <v>269</v>
      </c>
      <c r="B28" s="499" t="s">
        <v>409</v>
      </c>
      <c r="C28" s="353"/>
    </row>
    <row r="29" spans="1:3" s="504" customFormat="1" ht="12" customHeight="1" thickBot="1" x14ac:dyDescent="0.25">
      <c r="A29" s="496" t="s">
        <v>270</v>
      </c>
      <c r="B29" s="166" t="s">
        <v>528</v>
      </c>
      <c r="C29" s="101"/>
    </row>
    <row r="30" spans="1:3" s="504" customFormat="1" ht="12" customHeight="1" thickBot="1" x14ac:dyDescent="0.25">
      <c r="A30" s="230" t="s">
        <v>22</v>
      </c>
      <c r="B30" s="150" t="s">
        <v>410</v>
      </c>
      <c r="C30" s="352">
        <f>+C31+C32+C33</f>
        <v>0</v>
      </c>
    </row>
    <row r="31" spans="1:3" s="504" customFormat="1" ht="12" customHeight="1" x14ac:dyDescent="0.2">
      <c r="A31" s="497" t="s">
        <v>93</v>
      </c>
      <c r="B31" s="498" t="s">
        <v>291</v>
      </c>
      <c r="C31" s="94"/>
    </row>
    <row r="32" spans="1:3" s="504" customFormat="1" ht="12" customHeight="1" x14ac:dyDescent="0.2">
      <c r="A32" s="497" t="s">
        <v>94</v>
      </c>
      <c r="B32" s="499" t="s">
        <v>292</v>
      </c>
      <c r="C32" s="353"/>
    </row>
    <row r="33" spans="1:3" s="504" customFormat="1" ht="12" customHeight="1" thickBot="1" x14ac:dyDescent="0.25">
      <c r="A33" s="496" t="s">
        <v>95</v>
      </c>
      <c r="B33" s="166" t="s">
        <v>293</v>
      </c>
      <c r="C33" s="101"/>
    </row>
    <row r="34" spans="1:3" s="409" customFormat="1" ht="12" customHeight="1" thickBot="1" x14ac:dyDescent="0.25">
      <c r="A34" s="230" t="s">
        <v>23</v>
      </c>
      <c r="B34" s="150" t="s">
        <v>379</v>
      </c>
      <c r="C34" s="379"/>
    </row>
    <row r="35" spans="1:3" s="409" customFormat="1" ht="12" customHeight="1" thickBot="1" x14ac:dyDescent="0.25">
      <c r="A35" s="230" t="s">
        <v>24</v>
      </c>
      <c r="B35" s="150" t="s">
        <v>411</v>
      </c>
      <c r="C35" s="400"/>
    </row>
    <row r="36" spans="1:3" s="409" customFormat="1" ht="12" customHeight="1" thickBot="1" x14ac:dyDescent="0.25">
      <c r="A36" s="223" t="s">
        <v>25</v>
      </c>
      <c r="B36" s="150" t="s">
        <v>529</v>
      </c>
      <c r="C36" s="401">
        <f>+C8+C20+C25+C26+C30+C34+C35</f>
        <v>0</v>
      </c>
    </row>
    <row r="37" spans="1:3" s="409" customFormat="1" ht="12" customHeight="1" thickBot="1" x14ac:dyDescent="0.25">
      <c r="A37" s="267" t="s">
        <v>26</v>
      </c>
      <c r="B37" s="150" t="s">
        <v>413</v>
      </c>
      <c r="C37" s="401">
        <f>+C38+C39+C40</f>
        <v>0</v>
      </c>
    </row>
    <row r="38" spans="1:3" s="409" customFormat="1" ht="12" customHeight="1" x14ac:dyDescent="0.2">
      <c r="A38" s="497" t="s">
        <v>414</v>
      </c>
      <c r="B38" s="498" t="s">
        <v>236</v>
      </c>
      <c r="C38" s="94"/>
    </row>
    <row r="39" spans="1:3" s="409" customFormat="1" ht="12" customHeight="1" x14ac:dyDescent="0.2">
      <c r="A39" s="497" t="s">
        <v>415</v>
      </c>
      <c r="B39" s="499" t="s">
        <v>2</v>
      </c>
      <c r="C39" s="353"/>
    </row>
    <row r="40" spans="1:3" s="504" customFormat="1" ht="12" customHeight="1" thickBot="1" x14ac:dyDescent="0.25">
      <c r="A40" s="496" t="s">
        <v>416</v>
      </c>
      <c r="B40" s="166" t="s">
        <v>417</v>
      </c>
      <c r="C40" s="101"/>
    </row>
    <row r="41" spans="1:3" s="504" customFormat="1" ht="15" customHeight="1" thickBot="1" x14ac:dyDescent="0.25">
      <c r="A41" s="267" t="s">
        <v>27</v>
      </c>
      <c r="B41" s="268" t="s">
        <v>418</v>
      </c>
      <c r="C41" s="404">
        <f>+C36+C37</f>
        <v>0</v>
      </c>
    </row>
    <row r="42" spans="1:3" s="504" customFormat="1" ht="15" customHeight="1" x14ac:dyDescent="0.2">
      <c r="A42" s="269"/>
      <c r="B42" s="270"/>
      <c r="C42" s="402"/>
    </row>
    <row r="43" spans="1:3" ht="13.5" thickBot="1" x14ac:dyDescent="0.25">
      <c r="A43" s="271"/>
      <c r="B43" s="272"/>
      <c r="C43" s="403"/>
    </row>
    <row r="44" spans="1:3" s="503" customFormat="1" ht="16.5" customHeight="1" thickBot="1" x14ac:dyDescent="0.25">
      <c r="A44" s="273"/>
      <c r="B44" s="274" t="s">
        <v>58</v>
      </c>
      <c r="C44" s="404"/>
    </row>
    <row r="45" spans="1:3" s="505" customFormat="1" ht="12" customHeight="1" thickBot="1" x14ac:dyDescent="0.25">
      <c r="A45" s="230" t="s">
        <v>18</v>
      </c>
      <c r="B45" s="150" t="s">
        <v>419</v>
      </c>
      <c r="C45" s="352">
        <f>SUM(C46:C50)</f>
        <v>0</v>
      </c>
    </row>
    <row r="46" spans="1:3" ht="12" customHeight="1" x14ac:dyDescent="0.2">
      <c r="A46" s="496" t="s">
        <v>100</v>
      </c>
      <c r="B46" s="9" t="s">
        <v>49</v>
      </c>
      <c r="C46" s="94"/>
    </row>
    <row r="47" spans="1:3" ht="12" customHeight="1" x14ac:dyDescent="0.2">
      <c r="A47" s="496" t="s">
        <v>101</v>
      </c>
      <c r="B47" s="8" t="s">
        <v>181</v>
      </c>
      <c r="C47" s="97"/>
    </row>
    <row r="48" spans="1:3" ht="12" customHeight="1" x14ac:dyDescent="0.2">
      <c r="A48" s="496" t="s">
        <v>102</v>
      </c>
      <c r="B48" s="8" t="s">
        <v>142</v>
      </c>
      <c r="C48" s="97"/>
    </row>
    <row r="49" spans="1:3" ht="12" customHeight="1" x14ac:dyDescent="0.2">
      <c r="A49" s="496" t="s">
        <v>103</v>
      </c>
      <c r="B49" s="8" t="s">
        <v>182</v>
      </c>
      <c r="C49" s="97"/>
    </row>
    <row r="50" spans="1:3" ht="12" customHeight="1" thickBot="1" x14ac:dyDescent="0.25">
      <c r="A50" s="496" t="s">
        <v>149</v>
      </c>
      <c r="B50" s="8" t="s">
        <v>183</v>
      </c>
      <c r="C50" s="97"/>
    </row>
    <row r="51" spans="1:3" ht="12" customHeight="1" thickBot="1" x14ac:dyDescent="0.25">
      <c r="A51" s="230" t="s">
        <v>19</v>
      </c>
      <c r="B51" s="150" t="s">
        <v>420</v>
      </c>
      <c r="C51" s="352">
        <f>SUM(C52:C54)</f>
        <v>0</v>
      </c>
    </row>
    <row r="52" spans="1:3" s="505" customFormat="1" ht="12" customHeight="1" x14ac:dyDescent="0.2">
      <c r="A52" s="496" t="s">
        <v>106</v>
      </c>
      <c r="B52" s="9" t="s">
        <v>226</v>
      </c>
      <c r="C52" s="94"/>
    </row>
    <row r="53" spans="1:3" ht="12" customHeight="1" x14ac:dyDescent="0.2">
      <c r="A53" s="496" t="s">
        <v>107</v>
      </c>
      <c r="B53" s="8" t="s">
        <v>185</v>
      </c>
      <c r="C53" s="97"/>
    </row>
    <row r="54" spans="1:3" ht="12" customHeight="1" x14ac:dyDescent="0.2">
      <c r="A54" s="496" t="s">
        <v>108</v>
      </c>
      <c r="B54" s="8" t="s">
        <v>59</v>
      </c>
      <c r="C54" s="97"/>
    </row>
    <row r="55" spans="1:3" ht="12" customHeight="1" thickBot="1" x14ac:dyDescent="0.25">
      <c r="A55" s="496" t="s">
        <v>109</v>
      </c>
      <c r="B55" s="8" t="s">
        <v>526</v>
      </c>
      <c r="C55" s="97"/>
    </row>
    <row r="56" spans="1:3" ht="15" customHeight="1" thickBot="1" x14ac:dyDescent="0.25">
      <c r="A56" s="230" t="s">
        <v>20</v>
      </c>
      <c r="B56" s="150" t="s">
        <v>12</v>
      </c>
      <c r="C56" s="379"/>
    </row>
    <row r="57" spans="1:3" ht="13.5" thickBot="1" x14ac:dyDescent="0.25">
      <c r="A57" s="230" t="s">
        <v>21</v>
      </c>
      <c r="B57" s="275" t="s">
        <v>533</v>
      </c>
      <c r="C57" s="405">
        <f>+C45+C51+C56</f>
        <v>0</v>
      </c>
    </row>
    <row r="58" spans="1:3" ht="15" customHeight="1" thickBot="1" x14ac:dyDescent="0.25">
      <c r="C58" s="406"/>
    </row>
    <row r="59" spans="1:3" ht="14.25" customHeight="1" thickBot="1" x14ac:dyDescent="0.25">
      <c r="A59" s="278" t="s">
        <v>521</v>
      </c>
      <c r="B59" s="279"/>
      <c r="C59" s="147"/>
    </row>
    <row r="60" spans="1:3" ht="13.5" thickBot="1" x14ac:dyDescent="0.25">
      <c r="A60" s="278" t="s">
        <v>204</v>
      </c>
      <c r="B60" s="279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2" sqref="C2"/>
    </sheetView>
  </sheetViews>
  <sheetFormatPr defaultRowHeight="12.75" x14ac:dyDescent="0.2"/>
  <cols>
    <col min="1" max="1" width="13.83203125" style="276" customWidth="1"/>
    <col min="2" max="2" width="79.1640625" style="277" customWidth="1"/>
    <col min="3" max="3" width="25" style="277" customWidth="1"/>
    <col min="4" max="16384" width="9.33203125" style="277"/>
  </cols>
  <sheetData>
    <row r="1" spans="1:3" s="256" customFormat="1" ht="21" customHeight="1" thickBot="1" x14ac:dyDescent="0.25">
      <c r="A1" s="255"/>
      <c r="B1" s="257"/>
      <c r="C1" s="500" t="str">
        <f>+CONCATENATE("9.5.3. melléklet a 6/",LEFT(ÖSSZEFÜGGÉSEK!A5,4),". (III. 13.) önkormányzati rendelethez")</f>
        <v>9.5.3. melléklet a 6/2017. (III. 13.) önkormányzati rendelethez</v>
      </c>
    </row>
    <row r="2" spans="1:3" s="501" customFormat="1" ht="25.5" customHeight="1" x14ac:dyDescent="0.2">
      <c r="A2" s="451" t="s">
        <v>202</v>
      </c>
      <c r="B2" s="393" t="s">
        <v>573</v>
      </c>
      <c r="C2" s="407" t="s">
        <v>577</v>
      </c>
    </row>
    <row r="3" spans="1:3" s="501" customFormat="1" ht="24.75" thickBot="1" x14ac:dyDescent="0.25">
      <c r="A3" s="494" t="s">
        <v>201</v>
      </c>
      <c r="B3" s="394" t="s">
        <v>534</v>
      </c>
      <c r="C3" s="408" t="s">
        <v>61</v>
      </c>
    </row>
    <row r="4" spans="1:3" s="502" customFormat="1" ht="15.95" customHeight="1" thickBot="1" x14ac:dyDescent="0.3">
      <c r="A4" s="259"/>
      <c r="B4" s="259"/>
      <c r="C4" s="260" t="s">
        <v>55</v>
      </c>
    </row>
    <row r="5" spans="1:3" ht="13.5" thickBot="1" x14ac:dyDescent="0.25">
      <c r="A5" s="452" t="s">
        <v>203</v>
      </c>
      <c r="B5" s="261" t="s">
        <v>567</v>
      </c>
      <c r="C5" s="262" t="s">
        <v>56</v>
      </c>
    </row>
    <row r="6" spans="1:3" s="503" customFormat="1" ht="12.95" customHeight="1" thickBot="1" x14ac:dyDescent="0.25">
      <c r="A6" s="223"/>
      <c r="B6" s="224" t="s">
        <v>496</v>
      </c>
      <c r="C6" s="225" t="s">
        <v>497</v>
      </c>
    </row>
    <row r="7" spans="1:3" s="503" customFormat="1" ht="15.95" customHeight="1" thickBot="1" x14ac:dyDescent="0.25">
      <c r="A7" s="263"/>
      <c r="B7" s="264" t="s">
        <v>57</v>
      </c>
      <c r="C7" s="265"/>
    </row>
    <row r="8" spans="1:3" s="409" customFormat="1" ht="12" customHeight="1" thickBot="1" x14ac:dyDescent="0.25">
      <c r="A8" s="223" t="s">
        <v>18</v>
      </c>
      <c r="B8" s="266" t="s">
        <v>522</v>
      </c>
      <c r="C8" s="352">
        <f>SUM(C9:C19)</f>
        <v>0</v>
      </c>
    </row>
    <row r="9" spans="1:3" s="409" customFormat="1" ht="12" customHeight="1" x14ac:dyDescent="0.2">
      <c r="A9" s="495" t="s">
        <v>100</v>
      </c>
      <c r="B9" s="10" t="s">
        <v>277</v>
      </c>
      <c r="C9" s="398"/>
    </row>
    <row r="10" spans="1:3" s="409" customFormat="1" ht="12" customHeight="1" x14ac:dyDescent="0.2">
      <c r="A10" s="496" t="s">
        <v>101</v>
      </c>
      <c r="B10" s="8" t="s">
        <v>278</v>
      </c>
      <c r="C10" s="350"/>
    </row>
    <row r="11" spans="1:3" s="409" customFormat="1" ht="12" customHeight="1" x14ac:dyDescent="0.2">
      <c r="A11" s="496" t="s">
        <v>102</v>
      </c>
      <c r="B11" s="8" t="s">
        <v>279</v>
      </c>
      <c r="C11" s="350"/>
    </row>
    <row r="12" spans="1:3" s="409" customFormat="1" ht="12" customHeight="1" x14ac:dyDescent="0.2">
      <c r="A12" s="496" t="s">
        <v>103</v>
      </c>
      <c r="B12" s="8" t="s">
        <v>280</v>
      </c>
      <c r="C12" s="350"/>
    </row>
    <row r="13" spans="1:3" s="409" customFormat="1" ht="12" customHeight="1" x14ac:dyDescent="0.2">
      <c r="A13" s="496" t="s">
        <v>149</v>
      </c>
      <c r="B13" s="8" t="s">
        <v>281</v>
      </c>
      <c r="C13" s="350"/>
    </row>
    <row r="14" spans="1:3" s="409" customFormat="1" ht="12" customHeight="1" x14ac:dyDescent="0.2">
      <c r="A14" s="496" t="s">
        <v>104</v>
      </c>
      <c r="B14" s="8" t="s">
        <v>403</v>
      </c>
      <c r="C14" s="350"/>
    </row>
    <row r="15" spans="1:3" s="409" customFormat="1" ht="12" customHeight="1" x14ac:dyDescent="0.2">
      <c r="A15" s="496" t="s">
        <v>105</v>
      </c>
      <c r="B15" s="7" t="s">
        <v>404</v>
      </c>
      <c r="C15" s="350"/>
    </row>
    <row r="16" spans="1:3" s="409" customFormat="1" ht="12" customHeight="1" x14ac:dyDescent="0.2">
      <c r="A16" s="496" t="s">
        <v>115</v>
      </c>
      <c r="B16" s="8" t="s">
        <v>284</v>
      </c>
      <c r="C16" s="399"/>
    </row>
    <row r="17" spans="1:3" s="504" customFormat="1" ht="12" customHeight="1" x14ac:dyDescent="0.2">
      <c r="A17" s="496" t="s">
        <v>116</v>
      </c>
      <c r="B17" s="8" t="s">
        <v>285</v>
      </c>
      <c r="C17" s="350"/>
    </row>
    <row r="18" spans="1:3" s="504" customFormat="1" ht="12" customHeight="1" x14ac:dyDescent="0.2">
      <c r="A18" s="496" t="s">
        <v>117</v>
      </c>
      <c r="B18" s="8" t="s">
        <v>440</v>
      </c>
      <c r="C18" s="351"/>
    </row>
    <row r="19" spans="1:3" s="504" customFormat="1" ht="12" customHeight="1" thickBot="1" x14ac:dyDescent="0.25">
      <c r="A19" s="496" t="s">
        <v>118</v>
      </c>
      <c r="B19" s="7" t="s">
        <v>286</v>
      </c>
      <c r="C19" s="351"/>
    </row>
    <row r="20" spans="1:3" s="409" customFormat="1" ht="12" customHeight="1" thickBot="1" x14ac:dyDescent="0.25">
      <c r="A20" s="223" t="s">
        <v>19</v>
      </c>
      <c r="B20" s="266" t="s">
        <v>405</v>
      </c>
      <c r="C20" s="352">
        <f>SUM(C21:C23)</f>
        <v>0</v>
      </c>
    </row>
    <row r="21" spans="1:3" s="504" customFormat="1" ht="12" customHeight="1" x14ac:dyDescent="0.2">
      <c r="A21" s="496" t="s">
        <v>106</v>
      </c>
      <c r="B21" s="9" t="s">
        <v>258</v>
      </c>
      <c r="C21" s="350"/>
    </row>
    <row r="22" spans="1:3" s="504" customFormat="1" ht="12" customHeight="1" x14ac:dyDescent="0.2">
      <c r="A22" s="496" t="s">
        <v>107</v>
      </c>
      <c r="B22" s="8" t="s">
        <v>406</v>
      </c>
      <c r="C22" s="350"/>
    </row>
    <row r="23" spans="1:3" s="504" customFormat="1" ht="12" customHeight="1" x14ac:dyDescent="0.2">
      <c r="A23" s="496" t="s">
        <v>108</v>
      </c>
      <c r="B23" s="8" t="s">
        <v>407</v>
      </c>
      <c r="C23" s="350"/>
    </row>
    <row r="24" spans="1:3" s="504" customFormat="1" ht="12" customHeight="1" thickBot="1" x14ac:dyDescent="0.25">
      <c r="A24" s="496" t="s">
        <v>109</v>
      </c>
      <c r="B24" s="8" t="s">
        <v>527</v>
      </c>
      <c r="C24" s="350"/>
    </row>
    <row r="25" spans="1:3" s="504" customFormat="1" ht="12" customHeight="1" thickBot="1" x14ac:dyDescent="0.25">
      <c r="A25" s="230" t="s">
        <v>20</v>
      </c>
      <c r="B25" s="150" t="s">
        <v>172</v>
      </c>
      <c r="C25" s="379"/>
    </row>
    <row r="26" spans="1:3" s="504" customFormat="1" ht="12" customHeight="1" thickBot="1" x14ac:dyDescent="0.25">
      <c r="A26" s="230" t="s">
        <v>21</v>
      </c>
      <c r="B26" s="150" t="s">
        <v>408</v>
      </c>
      <c r="C26" s="352">
        <f>+C27+C28</f>
        <v>0</v>
      </c>
    </row>
    <row r="27" spans="1:3" s="504" customFormat="1" ht="12" customHeight="1" x14ac:dyDescent="0.2">
      <c r="A27" s="497" t="s">
        <v>268</v>
      </c>
      <c r="B27" s="498" t="s">
        <v>406</v>
      </c>
      <c r="C27" s="94"/>
    </row>
    <row r="28" spans="1:3" s="504" customFormat="1" ht="12" customHeight="1" x14ac:dyDescent="0.2">
      <c r="A28" s="497" t="s">
        <v>269</v>
      </c>
      <c r="B28" s="499" t="s">
        <v>409</v>
      </c>
      <c r="C28" s="353"/>
    </row>
    <row r="29" spans="1:3" s="504" customFormat="1" ht="12" customHeight="1" thickBot="1" x14ac:dyDescent="0.25">
      <c r="A29" s="496" t="s">
        <v>270</v>
      </c>
      <c r="B29" s="166" t="s">
        <v>528</v>
      </c>
      <c r="C29" s="101"/>
    </row>
    <row r="30" spans="1:3" s="504" customFormat="1" ht="12" customHeight="1" thickBot="1" x14ac:dyDescent="0.25">
      <c r="A30" s="230" t="s">
        <v>22</v>
      </c>
      <c r="B30" s="150" t="s">
        <v>410</v>
      </c>
      <c r="C30" s="352">
        <f>+C31+C32+C33</f>
        <v>0</v>
      </c>
    </row>
    <row r="31" spans="1:3" s="504" customFormat="1" ht="12" customHeight="1" x14ac:dyDescent="0.2">
      <c r="A31" s="497" t="s">
        <v>93</v>
      </c>
      <c r="B31" s="498" t="s">
        <v>291</v>
      </c>
      <c r="C31" s="94"/>
    </row>
    <row r="32" spans="1:3" s="504" customFormat="1" ht="12" customHeight="1" x14ac:dyDescent="0.2">
      <c r="A32" s="497" t="s">
        <v>94</v>
      </c>
      <c r="B32" s="499" t="s">
        <v>292</v>
      </c>
      <c r="C32" s="353"/>
    </row>
    <row r="33" spans="1:3" s="504" customFormat="1" ht="12" customHeight="1" thickBot="1" x14ac:dyDescent="0.25">
      <c r="A33" s="496" t="s">
        <v>95</v>
      </c>
      <c r="B33" s="166" t="s">
        <v>293</v>
      </c>
      <c r="C33" s="101"/>
    </row>
    <row r="34" spans="1:3" s="409" customFormat="1" ht="12" customHeight="1" thickBot="1" x14ac:dyDescent="0.25">
      <c r="A34" s="230" t="s">
        <v>23</v>
      </c>
      <c r="B34" s="150" t="s">
        <v>379</v>
      </c>
      <c r="C34" s="379"/>
    </row>
    <row r="35" spans="1:3" s="409" customFormat="1" ht="12" customHeight="1" thickBot="1" x14ac:dyDescent="0.25">
      <c r="A35" s="230" t="s">
        <v>24</v>
      </c>
      <c r="B35" s="150" t="s">
        <v>411</v>
      </c>
      <c r="C35" s="400"/>
    </row>
    <row r="36" spans="1:3" s="409" customFormat="1" ht="12" customHeight="1" thickBot="1" x14ac:dyDescent="0.25">
      <c r="A36" s="223" t="s">
        <v>25</v>
      </c>
      <c r="B36" s="150" t="s">
        <v>529</v>
      </c>
      <c r="C36" s="401">
        <f>+C8+C20+C25+C26+C30+C34+C35</f>
        <v>0</v>
      </c>
    </row>
    <row r="37" spans="1:3" s="409" customFormat="1" ht="12" customHeight="1" thickBot="1" x14ac:dyDescent="0.25">
      <c r="A37" s="267" t="s">
        <v>26</v>
      </c>
      <c r="B37" s="150" t="s">
        <v>413</v>
      </c>
      <c r="C37" s="401">
        <f>+C38+C39+C40</f>
        <v>0</v>
      </c>
    </row>
    <row r="38" spans="1:3" s="409" customFormat="1" ht="12" customHeight="1" x14ac:dyDescent="0.2">
      <c r="A38" s="497" t="s">
        <v>414</v>
      </c>
      <c r="B38" s="498" t="s">
        <v>236</v>
      </c>
      <c r="C38" s="94"/>
    </row>
    <row r="39" spans="1:3" s="409" customFormat="1" ht="12" customHeight="1" x14ac:dyDescent="0.2">
      <c r="A39" s="497" t="s">
        <v>415</v>
      </c>
      <c r="B39" s="499" t="s">
        <v>2</v>
      </c>
      <c r="C39" s="353"/>
    </row>
    <row r="40" spans="1:3" s="504" customFormat="1" ht="12" customHeight="1" thickBot="1" x14ac:dyDescent="0.25">
      <c r="A40" s="496" t="s">
        <v>416</v>
      </c>
      <c r="B40" s="166" t="s">
        <v>417</v>
      </c>
      <c r="C40" s="101"/>
    </row>
    <row r="41" spans="1:3" s="504" customFormat="1" ht="15" customHeight="1" thickBot="1" x14ac:dyDescent="0.25">
      <c r="A41" s="267" t="s">
        <v>27</v>
      </c>
      <c r="B41" s="268" t="s">
        <v>418</v>
      </c>
      <c r="C41" s="404">
        <f>+C36+C37</f>
        <v>0</v>
      </c>
    </row>
    <row r="42" spans="1:3" s="504" customFormat="1" ht="15" customHeight="1" x14ac:dyDescent="0.2">
      <c r="A42" s="269"/>
      <c r="B42" s="270"/>
      <c r="C42" s="402"/>
    </row>
    <row r="43" spans="1:3" ht="13.5" thickBot="1" x14ac:dyDescent="0.25">
      <c r="A43" s="271"/>
      <c r="B43" s="272"/>
      <c r="C43" s="403"/>
    </row>
    <row r="44" spans="1:3" s="503" customFormat="1" ht="16.5" customHeight="1" thickBot="1" x14ac:dyDescent="0.25">
      <c r="A44" s="273"/>
      <c r="B44" s="274" t="s">
        <v>58</v>
      </c>
      <c r="C44" s="404"/>
    </row>
    <row r="45" spans="1:3" s="505" customFormat="1" ht="12" customHeight="1" thickBot="1" x14ac:dyDescent="0.25">
      <c r="A45" s="230" t="s">
        <v>18</v>
      </c>
      <c r="B45" s="150" t="s">
        <v>419</v>
      </c>
      <c r="C45" s="352">
        <f>SUM(C46:C50)</f>
        <v>0</v>
      </c>
    </row>
    <row r="46" spans="1:3" ht="12" customHeight="1" x14ac:dyDescent="0.2">
      <c r="A46" s="496" t="s">
        <v>100</v>
      </c>
      <c r="B46" s="9" t="s">
        <v>49</v>
      </c>
      <c r="C46" s="94"/>
    </row>
    <row r="47" spans="1:3" ht="12" customHeight="1" x14ac:dyDescent="0.2">
      <c r="A47" s="496" t="s">
        <v>101</v>
      </c>
      <c r="B47" s="8" t="s">
        <v>181</v>
      </c>
      <c r="C47" s="97"/>
    </row>
    <row r="48" spans="1:3" ht="12" customHeight="1" x14ac:dyDescent="0.2">
      <c r="A48" s="496" t="s">
        <v>102</v>
      </c>
      <c r="B48" s="8" t="s">
        <v>142</v>
      </c>
      <c r="C48" s="97"/>
    </row>
    <row r="49" spans="1:3" ht="12" customHeight="1" x14ac:dyDescent="0.2">
      <c r="A49" s="496" t="s">
        <v>103</v>
      </c>
      <c r="B49" s="8" t="s">
        <v>182</v>
      </c>
      <c r="C49" s="97"/>
    </row>
    <row r="50" spans="1:3" ht="12" customHeight="1" thickBot="1" x14ac:dyDescent="0.25">
      <c r="A50" s="496" t="s">
        <v>149</v>
      </c>
      <c r="B50" s="8" t="s">
        <v>183</v>
      </c>
      <c r="C50" s="97"/>
    </row>
    <row r="51" spans="1:3" ht="12" customHeight="1" thickBot="1" x14ac:dyDescent="0.25">
      <c r="A51" s="230" t="s">
        <v>19</v>
      </c>
      <c r="B51" s="150" t="s">
        <v>420</v>
      </c>
      <c r="C51" s="352">
        <f>SUM(C52:C54)</f>
        <v>0</v>
      </c>
    </row>
    <row r="52" spans="1:3" s="505" customFormat="1" ht="12" customHeight="1" x14ac:dyDescent="0.2">
      <c r="A52" s="496" t="s">
        <v>106</v>
      </c>
      <c r="B52" s="9" t="s">
        <v>226</v>
      </c>
      <c r="C52" s="94"/>
    </row>
    <row r="53" spans="1:3" ht="12" customHeight="1" x14ac:dyDescent="0.2">
      <c r="A53" s="496" t="s">
        <v>107</v>
      </c>
      <c r="B53" s="8" t="s">
        <v>185</v>
      </c>
      <c r="C53" s="97"/>
    </row>
    <row r="54" spans="1:3" ht="12" customHeight="1" x14ac:dyDescent="0.2">
      <c r="A54" s="496" t="s">
        <v>108</v>
      </c>
      <c r="B54" s="8" t="s">
        <v>59</v>
      </c>
      <c r="C54" s="97"/>
    </row>
    <row r="55" spans="1:3" ht="12" customHeight="1" thickBot="1" x14ac:dyDescent="0.25">
      <c r="A55" s="496" t="s">
        <v>109</v>
      </c>
      <c r="B55" s="8" t="s">
        <v>526</v>
      </c>
      <c r="C55" s="97"/>
    </row>
    <row r="56" spans="1:3" ht="15" customHeight="1" thickBot="1" x14ac:dyDescent="0.25">
      <c r="A56" s="230" t="s">
        <v>20</v>
      </c>
      <c r="B56" s="150" t="s">
        <v>12</v>
      </c>
      <c r="C56" s="379"/>
    </row>
    <row r="57" spans="1:3" ht="13.5" thickBot="1" x14ac:dyDescent="0.25">
      <c r="A57" s="230" t="s">
        <v>21</v>
      </c>
      <c r="B57" s="275" t="s">
        <v>533</v>
      </c>
      <c r="C57" s="405">
        <f>+C45+C51+C56</f>
        <v>0</v>
      </c>
    </row>
    <row r="58" spans="1:3" ht="15" customHeight="1" thickBot="1" x14ac:dyDescent="0.25">
      <c r="C58" s="406"/>
    </row>
    <row r="59" spans="1:3" ht="14.25" customHeight="1" thickBot="1" x14ac:dyDescent="0.25">
      <c r="A59" s="278" t="s">
        <v>521</v>
      </c>
      <c r="B59" s="279"/>
      <c r="C59" s="147"/>
    </row>
    <row r="60" spans="1:3" ht="13.5" thickBot="1" x14ac:dyDescent="0.25">
      <c r="A60" s="278" t="s">
        <v>204</v>
      </c>
      <c r="B60" s="279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34" zoomScaleNormal="100" workbookViewId="0">
      <selection activeCell="H57" sqref="H57"/>
    </sheetView>
  </sheetViews>
  <sheetFormatPr defaultRowHeight="12.75" x14ac:dyDescent="0.2"/>
  <cols>
    <col min="1" max="1" width="13.83203125" style="276" customWidth="1"/>
    <col min="2" max="2" width="79.1640625" style="277" customWidth="1"/>
    <col min="3" max="3" width="25" style="277" customWidth="1"/>
    <col min="4" max="16384" width="9.33203125" style="277"/>
  </cols>
  <sheetData>
    <row r="1" spans="1:3" s="256" customFormat="1" ht="21" customHeight="1" thickBot="1" x14ac:dyDescent="0.25">
      <c r="A1" s="255"/>
      <c r="B1" s="257"/>
      <c r="C1" s="500" t="str">
        <f>+CONCATENATE("9.6. melléklet a 6/",LEFT(ÖSSZEFÜGGÉSEK!A5,4),". (III. 13.) önkormányzati rendelethez")</f>
        <v>9.6. melléklet a 6/2017. (III. 13.) önkormányzati rendelethez</v>
      </c>
    </row>
    <row r="2" spans="1:3" s="501" customFormat="1" ht="25.5" customHeight="1" x14ac:dyDescent="0.2">
      <c r="A2" s="451" t="s">
        <v>202</v>
      </c>
      <c r="B2" s="393" t="s">
        <v>653</v>
      </c>
      <c r="C2" s="407" t="s">
        <v>654</v>
      </c>
    </row>
    <row r="3" spans="1:3" s="501" customFormat="1" ht="24.75" thickBot="1" x14ac:dyDescent="0.25">
      <c r="A3" s="494" t="s">
        <v>201</v>
      </c>
      <c r="B3" s="394" t="s">
        <v>402</v>
      </c>
      <c r="C3" s="408"/>
    </row>
    <row r="4" spans="1:3" s="502" customFormat="1" ht="15.95" customHeight="1" thickBot="1" x14ac:dyDescent="0.3">
      <c r="A4" s="259"/>
      <c r="B4" s="259"/>
      <c r="C4" s="260" t="s">
        <v>55</v>
      </c>
    </row>
    <row r="5" spans="1:3" ht="13.5" thickBot="1" x14ac:dyDescent="0.25">
      <c r="A5" s="452" t="s">
        <v>203</v>
      </c>
      <c r="B5" s="261" t="s">
        <v>567</v>
      </c>
      <c r="C5" s="262" t="s">
        <v>56</v>
      </c>
    </row>
    <row r="6" spans="1:3" s="503" customFormat="1" ht="12.95" customHeight="1" thickBot="1" x14ac:dyDescent="0.25">
      <c r="A6" s="223"/>
      <c r="B6" s="224" t="s">
        <v>496</v>
      </c>
      <c r="C6" s="225" t="s">
        <v>497</v>
      </c>
    </row>
    <row r="7" spans="1:3" s="503" customFormat="1" ht="15.95" customHeight="1" thickBot="1" x14ac:dyDescent="0.25">
      <c r="A7" s="263"/>
      <c r="B7" s="264" t="s">
        <v>57</v>
      </c>
      <c r="C7" s="265"/>
    </row>
    <row r="8" spans="1:3" s="409" customFormat="1" ht="12" customHeight="1" thickBot="1" x14ac:dyDescent="0.25">
      <c r="A8" s="223" t="s">
        <v>18</v>
      </c>
      <c r="B8" s="266" t="s">
        <v>522</v>
      </c>
      <c r="C8" s="352">
        <f>SUM(C9:C19)</f>
        <v>0</v>
      </c>
    </row>
    <row r="9" spans="1:3" s="409" customFormat="1" ht="12" customHeight="1" x14ac:dyDescent="0.2">
      <c r="A9" s="495" t="s">
        <v>100</v>
      </c>
      <c r="B9" s="10" t="s">
        <v>277</v>
      </c>
      <c r="C9" s="398"/>
    </row>
    <row r="10" spans="1:3" s="409" customFormat="1" ht="12" customHeight="1" x14ac:dyDescent="0.2">
      <c r="A10" s="496" t="s">
        <v>101</v>
      </c>
      <c r="B10" s="8" t="s">
        <v>278</v>
      </c>
      <c r="C10" s="350"/>
    </row>
    <row r="11" spans="1:3" s="409" customFormat="1" ht="12" customHeight="1" x14ac:dyDescent="0.2">
      <c r="A11" s="496" t="s">
        <v>102</v>
      </c>
      <c r="B11" s="8" t="s">
        <v>279</v>
      </c>
      <c r="C11" s="350"/>
    </row>
    <row r="12" spans="1:3" s="409" customFormat="1" ht="12" customHeight="1" x14ac:dyDescent="0.2">
      <c r="A12" s="496" t="s">
        <v>103</v>
      </c>
      <c r="B12" s="8" t="s">
        <v>280</v>
      </c>
      <c r="C12" s="350"/>
    </row>
    <row r="13" spans="1:3" s="409" customFormat="1" ht="12" customHeight="1" x14ac:dyDescent="0.2">
      <c r="A13" s="496" t="s">
        <v>149</v>
      </c>
      <c r="B13" s="8" t="s">
        <v>281</v>
      </c>
      <c r="C13" s="350"/>
    </row>
    <row r="14" spans="1:3" s="409" customFormat="1" ht="12" customHeight="1" x14ac:dyDescent="0.2">
      <c r="A14" s="496" t="s">
        <v>104</v>
      </c>
      <c r="B14" s="8" t="s">
        <v>403</v>
      </c>
      <c r="C14" s="350"/>
    </row>
    <row r="15" spans="1:3" s="409" customFormat="1" ht="12" customHeight="1" x14ac:dyDescent="0.2">
      <c r="A15" s="496" t="s">
        <v>105</v>
      </c>
      <c r="B15" s="7" t="s">
        <v>404</v>
      </c>
      <c r="C15" s="350"/>
    </row>
    <row r="16" spans="1:3" s="409" customFormat="1" ht="12" customHeight="1" x14ac:dyDescent="0.2">
      <c r="A16" s="496" t="s">
        <v>115</v>
      </c>
      <c r="B16" s="8" t="s">
        <v>284</v>
      </c>
      <c r="C16" s="399"/>
    </row>
    <row r="17" spans="1:3" s="504" customFormat="1" ht="12" customHeight="1" x14ac:dyDescent="0.2">
      <c r="A17" s="496" t="s">
        <v>116</v>
      </c>
      <c r="B17" s="8" t="s">
        <v>285</v>
      </c>
      <c r="C17" s="350"/>
    </row>
    <row r="18" spans="1:3" s="504" customFormat="1" ht="12" customHeight="1" x14ac:dyDescent="0.2">
      <c r="A18" s="496" t="s">
        <v>117</v>
      </c>
      <c r="B18" s="8" t="s">
        <v>440</v>
      </c>
      <c r="C18" s="351"/>
    </row>
    <row r="19" spans="1:3" s="504" customFormat="1" ht="12" customHeight="1" thickBot="1" x14ac:dyDescent="0.25">
      <c r="A19" s="496" t="s">
        <v>118</v>
      </c>
      <c r="B19" s="7" t="s">
        <v>286</v>
      </c>
      <c r="C19" s="351"/>
    </row>
    <row r="20" spans="1:3" s="409" customFormat="1" ht="12" customHeight="1" thickBot="1" x14ac:dyDescent="0.25">
      <c r="A20" s="223" t="s">
        <v>19</v>
      </c>
      <c r="B20" s="266" t="s">
        <v>405</v>
      </c>
      <c r="C20" s="352">
        <f>SUM(C21:C23)</f>
        <v>0</v>
      </c>
    </row>
    <row r="21" spans="1:3" s="504" customFormat="1" ht="12" customHeight="1" x14ac:dyDescent="0.2">
      <c r="A21" s="496" t="s">
        <v>106</v>
      </c>
      <c r="B21" s="9" t="s">
        <v>258</v>
      </c>
      <c r="C21" s="350"/>
    </row>
    <row r="22" spans="1:3" s="504" customFormat="1" ht="12" customHeight="1" x14ac:dyDescent="0.2">
      <c r="A22" s="496" t="s">
        <v>107</v>
      </c>
      <c r="B22" s="8" t="s">
        <v>406</v>
      </c>
      <c r="C22" s="350"/>
    </row>
    <row r="23" spans="1:3" s="504" customFormat="1" ht="12" customHeight="1" x14ac:dyDescent="0.2">
      <c r="A23" s="496" t="s">
        <v>108</v>
      </c>
      <c r="B23" s="8" t="s">
        <v>407</v>
      </c>
      <c r="C23" s="350"/>
    </row>
    <row r="24" spans="1:3" s="504" customFormat="1" ht="12" customHeight="1" thickBot="1" x14ac:dyDescent="0.25">
      <c r="A24" s="496" t="s">
        <v>109</v>
      </c>
      <c r="B24" s="8" t="s">
        <v>527</v>
      </c>
      <c r="C24" s="350"/>
    </row>
    <row r="25" spans="1:3" s="504" customFormat="1" ht="12" customHeight="1" thickBot="1" x14ac:dyDescent="0.25">
      <c r="A25" s="230" t="s">
        <v>20</v>
      </c>
      <c r="B25" s="150" t="s">
        <v>172</v>
      </c>
      <c r="C25" s="379"/>
    </row>
    <row r="26" spans="1:3" s="504" customFormat="1" ht="12" customHeight="1" thickBot="1" x14ac:dyDescent="0.25">
      <c r="A26" s="230" t="s">
        <v>21</v>
      </c>
      <c r="B26" s="150" t="s">
        <v>408</v>
      </c>
      <c r="C26" s="352">
        <f>+C27+C28</f>
        <v>0</v>
      </c>
    </row>
    <row r="27" spans="1:3" s="504" customFormat="1" ht="12" customHeight="1" x14ac:dyDescent="0.2">
      <c r="A27" s="497" t="s">
        <v>268</v>
      </c>
      <c r="B27" s="498" t="s">
        <v>406</v>
      </c>
      <c r="C27" s="94"/>
    </row>
    <row r="28" spans="1:3" s="504" customFormat="1" ht="12" customHeight="1" x14ac:dyDescent="0.2">
      <c r="A28" s="497" t="s">
        <v>269</v>
      </c>
      <c r="B28" s="499" t="s">
        <v>409</v>
      </c>
      <c r="C28" s="353"/>
    </row>
    <row r="29" spans="1:3" s="504" customFormat="1" ht="12" customHeight="1" thickBot="1" x14ac:dyDescent="0.25">
      <c r="A29" s="496" t="s">
        <v>270</v>
      </c>
      <c r="B29" s="166" t="s">
        <v>528</v>
      </c>
      <c r="C29" s="101"/>
    </row>
    <row r="30" spans="1:3" s="504" customFormat="1" ht="12" customHeight="1" thickBot="1" x14ac:dyDescent="0.25">
      <c r="A30" s="230" t="s">
        <v>22</v>
      </c>
      <c r="B30" s="150" t="s">
        <v>410</v>
      </c>
      <c r="C30" s="352">
        <f>+C31+C32+C33</f>
        <v>0</v>
      </c>
    </row>
    <row r="31" spans="1:3" s="504" customFormat="1" ht="12" customHeight="1" x14ac:dyDescent="0.2">
      <c r="A31" s="497" t="s">
        <v>93</v>
      </c>
      <c r="B31" s="498" t="s">
        <v>291</v>
      </c>
      <c r="C31" s="94"/>
    </row>
    <row r="32" spans="1:3" s="504" customFormat="1" ht="12" customHeight="1" x14ac:dyDescent="0.2">
      <c r="A32" s="497" t="s">
        <v>94</v>
      </c>
      <c r="B32" s="499" t="s">
        <v>292</v>
      </c>
      <c r="C32" s="353"/>
    </row>
    <row r="33" spans="1:3" s="504" customFormat="1" ht="12" customHeight="1" thickBot="1" x14ac:dyDescent="0.25">
      <c r="A33" s="496" t="s">
        <v>95</v>
      </c>
      <c r="B33" s="166" t="s">
        <v>293</v>
      </c>
      <c r="C33" s="101"/>
    </row>
    <row r="34" spans="1:3" s="409" customFormat="1" ht="12" customHeight="1" thickBot="1" x14ac:dyDescent="0.25">
      <c r="A34" s="230" t="s">
        <v>23</v>
      </c>
      <c r="B34" s="150" t="s">
        <v>379</v>
      </c>
      <c r="C34" s="379"/>
    </row>
    <row r="35" spans="1:3" s="409" customFormat="1" ht="12" customHeight="1" thickBot="1" x14ac:dyDescent="0.25">
      <c r="A35" s="230" t="s">
        <v>24</v>
      </c>
      <c r="B35" s="150" t="s">
        <v>411</v>
      </c>
      <c r="C35" s="400"/>
    </row>
    <row r="36" spans="1:3" s="409" customFormat="1" ht="12" customHeight="1" thickBot="1" x14ac:dyDescent="0.25">
      <c r="A36" s="223" t="s">
        <v>25</v>
      </c>
      <c r="B36" s="150" t="s">
        <v>529</v>
      </c>
      <c r="C36" s="401">
        <f>+C8+C20+C25+C26+C30+C34+C35</f>
        <v>0</v>
      </c>
    </row>
    <row r="37" spans="1:3" s="409" customFormat="1" ht="12" customHeight="1" thickBot="1" x14ac:dyDescent="0.25">
      <c r="A37" s="267" t="s">
        <v>26</v>
      </c>
      <c r="B37" s="150" t="s">
        <v>413</v>
      </c>
      <c r="C37" s="401">
        <f>+C38+C39+C40</f>
        <v>41223224</v>
      </c>
    </row>
    <row r="38" spans="1:3" s="409" customFormat="1" ht="12" customHeight="1" x14ac:dyDescent="0.2">
      <c r="A38" s="497" t="s">
        <v>414</v>
      </c>
      <c r="B38" s="498" t="s">
        <v>236</v>
      </c>
      <c r="C38" s="94">
        <f>'9.5.1. sz. mell OVI'!C38+'9.5.2. sz. mell OVI'!C38+'9.5.3. sz. mell OVI'!C38</f>
        <v>0</v>
      </c>
    </row>
    <row r="39" spans="1:3" s="409" customFormat="1" ht="12" customHeight="1" x14ac:dyDescent="0.2">
      <c r="A39" s="497" t="s">
        <v>415</v>
      </c>
      <c r="B39" s="499" t="s">
        <v>2</v>
      </c>
      <c r="C39" s="353"/>
    </row>
    <row r="40" spans="1:3" s="504" customFormat="1" ht="12" customHeight="1" thickBot="1" x14ac:dyDescent="0.25">
      <c r="A40" s="496" t="s">
        <v>416</v>
      </c>
      <c r="B40" s="166" t="s">
        <v>417</v>
      </c>
      <c r="C40" s="101">
        <f>'9.6.1. sz. mell CSSK'!C40+'9.6.2. sz. mell CSSK'!C40+'9.6.3. sz. mell CSSK'!C40</f>
        <v>41223224</v>
      </c>
    </row>
    <row r="41" spans="1:3" s="504" customFormat="1" ht="15" customHeight="1" thickBot="1" x14ac:dyDescent="0.25">
      <c r="A41" s="267" t="s">
        <v>27</v>
      </c>
      <c r="B41" s="268" t="s">
        <v>418</v>
      </c>
      <c r="C41" s="404">
        <f>+C36+C37</f>
        <v>41223224</v>
      </c>
    </row>
    <row r="42" spans="1:3" s="504" customFormat="1" ht="15" customHeight="1" x14ac:dyDescent="0.2">
      <c r="A42" s="269"/>
      <c r="B42" s="270"/>
      <c r="C42" s="402"/>
    </row>
    <row r="43" spans="1:3" ht="13.5" thickBot="1" x14ac:dyDescent="0.25">
      <c r="A43" s="271"/>
      <c r="B43" s="272"/>
      <c r="C43" s="403"/>
    </row>
    <row r="44" spans="1:3" s="503" customFormat="1" ht="16.5" customHeight="1" thickBot="1" x14ac:dyDescent="0.25">
      <c r="A44" s="273"/>
      <c r="B44" s="274" t="s">
        <v>58</v>
      </c>
      <c r="C44" s="404"/>
    </row>
    <row r="45" spans="1:3" s="505" customFormat="1" ht="12" customHeight="1" thickBot="1" x14ac:dyDescent="0.25">
      <c r="A45" s="230" t="s">
        <v>18</v>
      </c>
      <c r="B45" s="150" t="s">
        <v>419</v>
      </c>
      <c r="C45" s="352">
        <f>SUM(C46:C50)</f>
        <v>41223224</v>
      </c>
    </row>
    <row r="46" spans="1:3" ht="12" customHeight="1" x14ac:dyDescent="0.2">
      <c r="A46" s="496" t="s">
        <v>100</v>
      </c>
      <c r="B46" s="9" t="s">
        <v>49</v>
      </c>
      <c r="C46" s="94">
        <f>'9.6.1. sz. mell CSSK'!C46</f>
        <v>28374215</v>
      </c>
    </row>
    <row r="47" spans="1:3" ht="12" customHeight="1" x14ac:dyDescent="0.2">
      <c r="A47" s="496" t="s">
        <v>101</v>
      </c>
      <c r="B47" s="8" t="s">
        <v>181</v>
      </c>
      <c r="C47" s="94">
        <f>'9.6.1. sz. mell CSSK'!C47</f>
        <v>6703327</v>
      </c>
    </row>
    <row r="48" spans="1:3" ht="12" customHeight="1" x14ac:dyDescent="0.2">
      <c r="A48" s="496" t="s">
        <v>102</v>
      </c>
      <c r="B48" s="8" t="s">
        <v>142</v>
      </c>
      <c r="C48" s="94">
        <f>'9.6.1. sz. mell CSSK'!C48</f>
        <v>6145682</v>
      </c>
    </row>
    <row r="49" spans="1:3" ht="12" customHeight="1" x14ac:dyDescent="0.2">
      <c r="A49" s="496" t="s">
        <v>103</v>
      </c>
      <c r="B49" s="8" t="s">
        <v>182</v>
      </c>
      <c r="C49" s="94">
        <f>'9.6.1. sz. mell CSSK'!C49</f>
        <v>0</v>
      </c>
    </row>
    <row r="50" spans="1:3" ht="12" customHeight="1" thickBot="1" x14ac:dyDescent="0.25">
      <c r="A50" s="496" t="s">
        <v>149</v>
      </c>
      <c r="B50" s="8" t="s">
        <v>183</v>
      </c>
      <c r="C50" s="94">
        <f>'9.6.1. sz. mell CSSK'!C50</f>
        <v>0</v>
      </c>
    </row>
    <row r="51" spans="1:3" ht="12" customHeight="1" thickBot="1" x14ac:dyDescent="0.25">
      <c r="A51" s="230" t="s">
        <v>19</v>
      </c>
      <c r="B51" s="150" t="s">
        <v>420</v>
      </c>
      <c r="C51" s="352">
        <f>SUM(C52:C54)</f>
        <v>0</v>
      </c>
    </row>
    <row r="52" spans="1:3" s="505" customFormat="1" ht="12" customHeight="1" x14ac:dyDescent="0.2">
      <c r="A52" s="496" t="s">
        <v>106</v>
      </c>
      <c r="B52" s="9" t="s">
        <v>226</v>
      </c>
      <c r="C52" s="94"/>
    </row>
    <row r="53" spans="1:3" ht="12" customHeight="1" x14ac:dyDescent="0.2">
      <c r="A53" s="496" t="s">
        <v>107</v>
      </c>
      <c r="B53" s="8" t="s">
        <v>185</v>
      </c>
      <c r="C53" s="97"/>
    </row>
    <row r="54" spans="1:3" ht="12" customHeight="1" x14ac:dyDescent="0.2">
      <c r="A54" s="496" t="s">
        <v>108</v>
      </c>
      <c r="B54" s="8" t="s">
        <v>59</v>
      </c>
      <c r="C54" s="97"/>
    </row>
    <row r="55" spans="1:3" ht="12" customHeight="1" thickBot="1" x14ac:dyDescent="0.25">
      <c r="A55" s="496" t="s">
        <v>109</v>
      </c>
      <c r="B55" s="8" t="s">
        <v>526</v>
      </c>
      <c r="C55" s="97"/>
    </row>
    <row r="56" spans="1:3" ht="15" customHeight="1" thickBot="1" x14ac:dyDescent="0.25">
      <c r="A56" s="230" t="s">
        <v>20</v>
      </c>
      <c r="B56" s="150" t="s">
        <v>12</v>
      </c>
      <c r="C56" s="379"/>
    </row>
    <row r="57" spans="1:3" ht="13.5" thickBot="1" x14ac:dyDescent="0.25">
      <c r="A57" s="230" t="s">
        <v>21</v>
      </c>
      <c r="B57" s="275" t="s">
        <v>533</v>
      </c>
      <c r="C57" s="405">
        <f>+C45+C51+C56</f>
        <v>41223224</v>
      </c>
    </row>
    <row r="58" spans="1:3" ht="15" customHeight="1" thickBot="1" x14ac:dyDescent="0.25">
      <c r="C58" s="406"/>
    </row>
    <row r="59" spans="1:3" ht="14.25" customHeight="1" thickBot="1" x14ac:dyDescent="0.25">
      <c r="A59" s="278" t="s">
        <v>521</v>
      </c>
      <c r="B59" s="279"/>
      <c r="C59" s="147">
        <v>8</v>
      </c>
    </row>
    <row r="60" spans="1:3" ht="13.5" thickBot="1" x14ac:dyDescent="0.25">
      <c r="A60" s="278" t="s">
        <v>204</v>
      </c>
      <c r="B60" s="279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32" zoomScaleNormal="100" workbookViewId="0">
      <selection activeCell="C37" sqref="C37:C57"/>
    </sheetView>
  </sheetViews>
  <sheetFormatPr defaultRowHeight="12.75" x14ac:dyDescent="0.2"/>
  <cols>
    <col min="1" max="1" width="13.83203125" style="276" customWidth="1"/>
    <col min="2" max="2" width="79.1640625" style="277" customWidth="1"/>
    <col min="3" max="3" width="25" style="277" customWidth="1"/>
    <col min="4" max="16384" width="9.33203125" style="277"/>
  </cols>
  <sheetData>
    <row r="1" spans="1:3" s="256" customFormat="1" ht="21" customHeight="1" thickBot="1" x14ac:dyDescent="0.25">
      <c r="A1" s="255"/>
      <c r="B1" s="257"/>
      <c r="C1" s="500" t="str">
        <f>+CONCATENATE("9.6.1. melléklet a 6/",LEFT(ÖSSZEFÜGGÉSEK!A5,4),". (III. 13.) önkormányzati rendelethez")</f>
        <v>9.6.1. melléklet a 6/2017. (III. 13.) önkormányzati rendelethez</v>
      </c>
    </row>
    <row r="2" spans="1:3" s="501" customFormat="1" ht="25.5" customHeight="1" x14ac:dyDescent="0.2">
      <c r="A2" s="451" t="s">
        <v>202</v>
      </c>
      <c r="B2" s="393" t="s">
        <v>653</v>
      </c>
      <c r="C2" s="407" t="s">
        <v>654</v>
      </c>
    </row>
    <row r="3" spans="1:3" s="501" customFormat="1" ht="24.75" thickBot="1" x14ac:dyDescent="0.25">
      <c r="A3" s="494" t="s">
        <v>201</v>
      </c>
      <c r="B3" s="394" t="s">
        <v>421</v>
      </c>
      <c r="C3" s="408" t="s">
        <v>54</v>
      </c>
    </row>
    <row r="4" spans="1:3" s="502" customFormat="1" ht="15.95" customHeight="1" thickBot="1" x14ac:dyDescent="0.3">
      <c r="A4" s="259"/>
      <c r="B4" s="259"/>
      <c r="C4" s="260" t="s">
        <v>55</v>
      </c>
    </row>
    <row r="5" spans="1:3" ht="13.5" thickBot="1" x14ac:dyDescent="0.25">
      <c r="A5" s="452" t="s">
        <v>203</v>
      </c>
      <c r="B5" s="261" t="s">
        <v>567</v>
      </c>
      <c r="C5" s="262" t="s">
        <v>56</v>
      </c>
    </row>
    <row r="6" spans="1:3" s="503" customFormat="1" ht="12.95" customHeight="1" thickBot="1" x14ac:dyDescent="0.25">
      <c r="A6" s="223"/>
      <c r="B6" s="224" t="s">
        <v>496</v>
      </c>
      <c r="C6" s="225" t="s">
        <v>497</v>
      </c>
    </row>
    <row r="7" spans="1:3" s="503" customFormat="1" ht="15.95" customHeight="1" thickBot="1" x14ac:dyDescent="0.25">
      <c r="A7" s="263"/>
      <c r="B7" s="264" t="s">
        <v>57</v>
      </c>
      <c r="C7" s="265"/>
    </row>
    <row r="8" spans="1:3" s="409" customFormat="1" ht="12" customHeight="1" thickBot="1" x14ac:dyDescent="0.25">
      <c r="A8" s="223" t="s">
        <v>18</v>
      </c>
      <c r="B8" s="266" t="s">
        <v>522</v>
      </c>
      <c r="C8" s="352">
        <f>SUM(C9:C19)</f>
        <v>0</v>
      </c>
    </row>
    <row r="9" spans="1:3" s="409" customFormat="1" ht="12" customHeight="1" x14ac:dyDescent="0.2">
      <c r="A9" s="495" t="s">
        <v>100</v>
      </c>
      <c r="B9" s="10" t="s">
        <v>277</v>
      </c>
      <c r="C9" s="398"/>
    </row>
    <row r="10" spans="1:3" s="409" customFormat="1" ht="12" customHeight="1" x14ac:dyDescent="0.2">
      <c r="A10" s="496" t="s">
        <v>101</v>
      </c>
      <c r="B10" s="8" t="s">
        <v>278</v>
      </c>
      <c r="C10" s="350"/>
    </row>
    <row r="11" spans="1:3" s="409" customFormat="1" ht="12" customHeight="1" x14ac:dyDescent="0.2">
      <c r="A11" s="496" t="s">
        <v>102</v>
      </c>
      <c r="B11" s="8" t="s">
        <v>279</v>
      </c>
      <c r="C11" s="350"/>
    </row>
    <row r="12" spans="1:3" s="409" customFormat="1" ht="12" customHeight="1" x14ac:dyDescent="0.2">
      <c r="A12" s="496" t="s">
        <v>103</v>
      </c>
      <c r="B12" s="8" t="s">
        <v>280</v>
      </c>
      <c r="C12" s="350"/>
    </row>
    <row r="13" spans="1:3" s="409" customFormat="1" ht="12" customHeight="1" x14ac:dyDescent="0.2">
      <c r="A13" s="496" t="s">
        <v>149</v>
      </c>
      <c r="B13" s="8" t="s">
        <v>281</v>
      </c>
      <c r="C13" s="350"/>
    </row>
    <row r="14" spans="1:3" s="409" customFormat="1" ht="12" customHeight="1" x14ac:dyDescent="0.2">
      <c r="A14" s="496" t="s">
        <v>104</v>
      </c>
      <c r="B14" s="8" t="s">
        <v>403</v>
      </c>
      <c r="C14" s="350"/>
    </row>
    <row r="15" spans="1:3" s="409" customFormat="1" ht="12" customHeight="1" x14ac:dyDescent="0.2">
      <c r="A15" s="496" t="s">
        <v>105</v>
      </c>
      <c r="B15" s="7" t="s">
        <v>404</v>
      </c>
      <c r="C15" s="350"/>
    </row>
    <row r="16" spans="1:3" s="409" customFormat="1" ht="12" customHeight="1" x14ac:dyDescent="0.2">
      <c r="A16" s="496" t="s">
        <v>115</v>
      </c>
      <c r="B16" s="8" t="s">
        <v>284</v>
      </c>
      <c r="C16" s="399"/>
    </row>
    <row r="17" spans="1:3" s="504" customFormat="1" ht="12" customHeight="1" x14ac:dyDescent="0.2">
      <c r="A17" s="496" t="s">
        <v>116</v>
      </c>
      <c r="B17" s="8" t="s">
        <v>285</v>
      </c>
      <c r="C17" s="350"/>
    </row>
    <row r="18" spans="1:3" s="504" customFormat="1" ht="12" customHeight="1" x14ac:dyDescent="0.2">
      <c r="A18" s="496" t="s">
        <v>117</v>
      </c>
      <c r="B18" s="8" t="s">
        <v>440</v>
      </c>
      <c r="C18" s="351"/>
    </row>
    <row r="19" spans="1:3" s="504" customFormat="1" ht="12" customHeight="1" thickBot="1" x14ac:dyDescent="0.25">
      <c r="A19" s="496" t="s">
        <v>118</v>
      </c>
      <c r="B19" s="7" t="s">
        <v>286</v>
      </c>
      <c r="C19" s="351"/>
    </row>
    <row r="20" spans="1:3" s="409" customFormat="1" ht="12" customHeight="1" thickBot="1" x14ac:dyDescent="0.25">
      <c r="A20" s="223" t="s">
        <v>19</v>
      </c>
      <c r="B20" s="266" t="s">
        <v>405</v>
      </c>
      <c r="C20" s="352">
        <f>SUM(C21:C23)</f>
        <v>0</v>
      </c>
    </row>
    <row r="21" spans="1:3" s="504" customFormat="1" ht="12" customHeight="1" x14ac:dyDescent="0.2">
      <c r="A21" s="496" t="s">
        <v>106</v>
      </c>
      <c r="B21" s="9" t="s">
        <v>258</v>
      </c>
      <c r="C21" s="350"/>
    </row>
    <row r="22" spans="1:3" s="504" customFormat="1" ht="12" customHeight="1" x14ac:dyDescent="0.2">
      <c r="A22" s="496" t="s">
        <v>107</v>
      </c>
      <c r="B22" s="8" t="s">
        <v>406</v>
      </c>
      <c r="C22" s="350"/>
    </row>
    <row r="23" spans="1:3" s="504" customFormat="1" ht="12" customHeight="1" x14ac:dyDescent="0.2">
      <c r="A23" s="496" t="s">
        <v>108</v>
      </c>
      <c r="B23" s="8" t="s">
        <v>407</v>
      </c>
      <c r="C23" s="350"/>
    </row>
    <row r="24" spans="1:3" s="504" customFormat="1" ht="12" customHeight="1" thickBot="1" x14ac:dyDescent="0.25">
      <c r="A24" s="496" t="s">
        <v>109</v>
      </c>
      <c r="B24" s="8" t="s">
        <v>527</v>
      </c>
      <c r="C24" s="350"/>
    </row>
    <row r="25" spans="1:3" s="504" customFormat="1" ht="12" customHeight="1" thickBot="1" x14ac:dyDescent="0.25">
      <c r="A25" s="230" t="s">
        <v>20</v>
      </c>
      <c r="B25" s="150" t="s">
        <v>172</v>
      </c>
      <c r="C25" s="379"/>
    </row>
    <row r="26" spans="1:3" s="504" customFormat="1" ht="12" customHeight="1" thickBot="1" x14ac:dyDescent="0.25">
      <c r="A26" s="230" t="s">
        <v>21</v>
      </c>
      <c r="B26" s="150" t="s">
        <v>408</v>
      </c>
      <c r="C26" s="352">
        <f>+C27+C28</f>
        <v>0</v>
      </c>
    </row>
    <row r="27" spans="1:3" s="504" customFormat="1" ht="12" customHeight="1" x14ac:dyDescent="0.2">
      <c r="A27" s="497" t="s">
        <v>268</v>
      </c>
      <c r="B27" s="498" t="s">
        <v>406</v>
      </c>
      <c r="C27" s="94"/>
    </row>
    <row r="28" spans="1:3" s="504" customFormat="1" ht="12" customHeight="1" x14ac:dyDescent="0.2">
      <c r="A28" s="497" t="s">
        <v>269</v>
      </c>
      <c r="B28" s="499" t="s">
        <v>409</v>
      </c>
      <c r="C28" s="353"/>
    </row>
    <row r="29" spans="1:3" s="504" customFormat="1" ht="12" customHeight="1" thickBot="1" x14ac:dyDescent="0.25">
      <c r="A29" s="496" t="s">
        <v>270</v>
      </c>
      <c r="B29" s="166" t="s">
        <v>528</v>
      </c>
      <c r="C29" s="101"/>
    </row>
    <row r="30" spans="1:3" s="504" customFormat="1" ht="12" customHeight="1" thickBot="1" x14ac:dyDescent="0.25">
      <c r="A30" s="230" t="s">
        <v>22</v>
      </c>
      <c r="B30" s="150" t="s">
        <v>410</v>
      </c>
      <c r="C30" s="352">
        <f>+C31+C32+C33</f>
        <v>0</v>
      </c>
    </row>
    <row r="31" spans="1:3" s="504" customFormat="1" ht="12" customHeight="1" x14ac:dyDescent="0.2">
      <c r="A31" s="497" t="s">
        <v>93</v>
      </c>
      <c r="B31" s="498" t="s">
        <v>291</v>
      </c>
      <c r="C31" s="94"/>
    </row>
    <row r="32" spans="1:3" s="504" customFormat="1" ht="12" customHeight="1" x14ac:dyDescent="0.2">
      <c r="A32" s="497" t="s">
        <v>94</v>
      </c>
      <c r="B32" s="499" t="s">
        <v>292</v>
      </c>
      <c r="C32" s="353"/>
    </row>
    <row r="33" spans="1:3" s="504" customFormat="1" ht="12" customHeight="1" thickBot="1" x14ac:dyDescent="0.25">
      <c r="A33" s="496" t="s">
        <v>95</v>
      </c>
      <c r="B33" s="166" t="s">
        <v>293</v>
      </c>
      <c r="C33" s="101"/>
    </row>
    <row r="34" spans="1:3" s="409" customFormat="1" ht="12" customHeight="1" thickBot="1" x14ac:dyDescent="0.25">
      <c r="A34" s="230" t="s">
        <v>23</v>
      </c>
      <c r="B34" s="150" t="s">
        <v>379</v>
      </c>
      <c r="C34" s="379"/>
    </row>
    <row r="35" spans="1:3" s="409" customFormat="1" ht="12" customHeight="1" thickBot="1" x14ac:dyDescent="0.25">
      <c r="A35" s="230" t="s">
        <v>24</v>
      </c>
      <c r="B35" s="150" t="s">
        <v>411</v>
      </c>
      <c r="C35" s="400"/>
    </row>
    <row r="36" spans="1:3" s="409" customFormat="1" ht="12" customHeight="1" thickBot="1" x14ac:dyDescent="0.25">
      <c r="A36" s="223" t="s">
        <v>25</v>
      </c>
      <c r="B36" s="150" t="s">
        <v>529</v>
      </c>
      <c r="C36" s="401">
        <f>+C8+C20+C25+C26+C30+C34+C35</f>
        <v>0</v>
      </c>
    </row>
    <row r="37" spans="1:3" s="409" customFormat="1" ht="12" customHeight="1" thickBot="1" x14ac:dyDescent="0.25">
      <c r="A37" s="267" t="s">
        <v>26</v>
      </c>
      <c r="B37" s="150" t="s">
        <v>413</v>
      </c>
      <c r="C37" s="401">
        <f>+C38+C39+C40</f>
        <v>41223224</v>
      </c>
    </row>
    <row r="38" spans="1:3" s="409" customFormat="1" ht="12" customHeight="1" x14ac:dyDescent="0.2">
      <c r="A38" s="497" t="s">
        <v>414</v>
      </c>
      <c r="B38" s="498" t="s">
        <v>236</v>
      </c>
      <c r="C38" s="94"/>
    </row>
    <row r="39" spans="1:3" s="409" customFormat="1" ht="12" customHeight="1" x14ac:dyDescent="0.2">
      <c r="A39" s="497" t="s">
        <v>415</v>
      </c>
      <c r="B39" s="499" t="s">
        <v>2</v>
      </c>
      <c r="C39" s="353"/>
    </row>
    <row r="40" spans="1:3" s="504" customFormat="1" ht="12" customHeight="1" thickBot="1" x14ac:dyDescent="0.25">
      <c r="A40" s="496" t="s">
        <v>416</v>
      </c>
      <c r="B40" s="166" t="s">
        <v>417</v>
      </c>
      <c r="C40" s="101">
        <f>C57-C36</f>
        <v>41223224</v>
      </c>
    </row>
    <row r="41" spans="1:3" s="504" customFormat="1" ht="15" customHeight="1" thickBot="1" x14ac:dyDescent="0.25">
      <c r="A41" s="267" t="s">
        <v>27</v>
      </c>
      <c r="B41" s="268" t="s">
        <v>418</v>
      </c>
      <c r="C41" s="404">
        <f>+C36+C37</f>
        <v>41223224</v>
      </c>
    </row>
    <row r="42" spans="1:3" s="504" customFormat="1" ht="15" customHeight="1" x14ac:dyDescent="0.2">
      <c r="A42" s="269"/>
      <c r="B42" s="270"/>
      <c r="C42" s="402"/>
    </row>
    <row r="43" spans="1:3" ht="13.5" thickBot="1" x14ac:dyDescent="0.25">
      <c r="A43" s="271"/>
      <c r="B43" s="272"/>
      <c r="C43" s="403"/>
    </row>
    <row r="44" spans="1:3" s="503" customFormat="1" ht="16.5" customHeight="1" thickBot="1" x14ac:dyDescent="0.25">
      <c r="A44" s="273"/>
      <c r="B44" s="274" t="s">
        <v>58</v>
      </c>
      <c r="C44" s="404"/>
    </row>
    <row r="45" spans="1:3" s="505" customFormat="1" ht="12" customHeight="1" thickBot="1" x14ac:dyDescent="0.25">
      <c r="A45" s="230" t="s">
        <v>18</v>
      </c>
      <c r="B45" s="150" t="s">
        <v>419</v>
      </c>
      <c r="C45" s="352">
        <f>SUM(C46:C50)</f>
        <v>41223224</v>
      </c>
    </row>
    <row r="46" spans="1:3" ht="12" customHeight="1" x14ac:dyDescent="0.2">
      <c r="A46" s="496" t="s">
        <v>100</v>
      </c>
      <c r="B46" s="9" t="s">
        <v>49</v>
      </c>
      <c r="C46" s="94">
        <f>28124215+250000</f>
        <v>28374215</v>
      </c>
    </row>
    <row r="47" spans="1:3" ht="12" customHeight="1" x14ac:dyDescent="0.2">
      <c r="A47" s="496" t="s">
        <v>101</v>
      </c>
      <c r="B47" s="8" t="s">
        <v>181</v>
      </c>
      <c r="C47" s="97">
        <f>6648327+55000</f>
        <v>6703327</v>
      </c>
    </row>
    <row r="48" spans="1:3" ht="12" customHeight="1" x14ac:dyDescent="0.2">
      <c r="A48" s="496" t="s">
        <v>102</v>
      </c>
      <c r="B48" s="8" t="s">
        <v>142</v>
      </c>
      <c r="C48" s="97">
        <f>5432580+713102</f>
        <v>6145682</v>
      </c>
    </row>
    <row r="49" spans="1:3" ht="12" customHeight="1" x14ac:dyDescent="0.2">
      <c r="A49" s="496" t="s">
        <v>103</v>
      </c>
      <c r="B49" s="8" t="s">
        <v>182</v>
      </c>
      <c r="C49" s="97"/>
    </row>
    <row r="50" spans="1:3" ht="12" customHeight="1" thickBot="1" x14ac:dyDescent="0.25">
      <c r="A50" s="496" t="s">
        <v>149</v>
      </c>
      <c r="B50" s="8" t="s">
        <v>183</v>
      </c>
      <c r="C50" s="97"/>
    </row>
    <row r="51" spans="1:3" ht="12" customHeight="1" thickBot="1" x14ac:dyDescent="0.25">
      <c r="A51" s="230" t="s">
        <v>19</v>
      </c>
      <c r="B51" s="150" t="s">
        <v>420</v>
      </c>
      <c r="C51" s="352">
        <f>SUM(C52:C54)</f>
        <v>0</v>
      </c>
    </row>
    <row r="52" spans="1:3" s="505" customFormat="1" ht="12" customHeight="1" x14ac:dyDescent="0.2">
      <c r="A52" s="496" t="s">
        <v>106</v>
      </c>
      <c r="B52" s="9" t="s">
        <v>226</v>
      </c>
      <c r="C52" s="94"/>
    </row>
    <row r="53" spans="1:3" ht="12" customHeight="1" x14ac:dyDescent="0.2">
      <c r="A53" s="496" t="s">
        <v>107</v>
      </c>
      <c r="B53" s="8" t="s">
        <v>185</v>
      </c>
      <c r="C53" s="97"/>
    </row>
    <row r="54" spans="1:3" ht="12" customHeight="1" x14ac:dyDescent="0.2">
      <c r="A54" s="496" t="s">
        <v>108</v>
      </c>
      <c r="B54" s="8" t="s">
        <v>59</v>
      </c>
      <c r="C54" s="97"/>
    </row>
    <row r="55" spans="1:3" ht="12" customHeight="1" thickBot="1" x14ac:dyDescent="0.25">
      <c r="A55" s="496" t="s">
        <v>109</v>
      </c>
      <c r="B55" s="8" t="s">
        <v>526</v>
      </c>
      <c r="C55" s="97"/>
    </row>
    <row r="56" spans="1:3" ht="15" customHeight="1" thickBot="1" x14ac:dyDescent="0.25">
      <c r="A56" s="230" t="s">
        <v>20</v>
      </c>
      <c r="B56" s="150" t="s">
        <v>12</v>
      </c>
      <c r="C56" s="379"/>
    </row>
    <row r="57" spans="1:3" ht="13.5" thickBot="1" x14ac:dyDescent="0.25">
      <c r="A57" s="230" t="s">
        <v>21</v>
      </c>
      <c r="B57" s="275" t="s">
        <v>533</v>
      </c>
      <c r="C57" s="405">
        <f>+C45+C51+C56</f>
        <v>41223224</v>
      </c>
    </row>
    <row r="58" spans="1:3" ht="15" customHeight="1" thickBot="1" x14ac:dyDescent="0.25">
      <c r="C58" s="406"/>
    </row>
    <row r="59" spans="1:3" ht="14.25" customHeight="1" thickBot="1" x14ac:dyDescent="0.25">
      <c r="A59" s="278" t="s">
        <v>521</v>
      </c>
      <c r="B59" s="279"/>
      <c r="C59" s="147">
        <v>8</v>
      </c>
    </row>
    <row r="60" spans="1:3" ht="13.5" thickBot="1" x14ac:dyDescent="0.25">
      <c r="A60" s="278" t="s">
        <v>204</v>
      </c>
      <c r="B60" s="279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2" sqref="C2"/>
    </sheetView>
  </sheetViews>
  <sheetFormatPr defaultRowHeight="12.75" x14ac:dyDescent="0.2"/>
  <cols>
    <col min="1" max="1" width="13.83203125" style="276" customWidth="1"/>
    <col min="2" max="2" width="79.1640625" style="277" customWidth="1"/>
    <col min="3" max="3" width="25" style="277" customWidth="1"/>
    <col min="4" max="16384" width="9.33203125" style="277"/>
  </cols>
  <sheetData>
    <row r="1" spans="1:3" s="256" customFormat="1" ht="21" customHeight="1" thickBot="1" x14ac:dyDescent="0.25">
      <c r="A1" s="255"/>
      <c r="B1" s="257"/>
      <c r="C1" s="500" t="str">
        <f>+CONCATENATE("9.6.2. melléklet a 6/",LEFT(ÖSSZEFÜGGÉSEK!A5,4),". (III. 13.) önkormányzati rendelethez")</f>
        <v>9.6.2. melléklet a 6/2017. (III. 13.) önkormányzati rendelethez</v>
      </c>
    </row>
    <row r="2" spans="1:3" s="501" customFormat="1" ht="25.5" customHeight="1" x14ac:dyDescent="0.2">
      <c r="A2" s="451" t="s">
        <v>202</v>
      </c>
      <c r="B2" s="393" t="s">
        <v>653</v>
      </c>
      <c r="C2" s="407" t="s">
        <v>654</v>
      </c>
    </row>
    <row r="3" spans="1:3" s="501" customFormat="1" ht="24.75" thickBot="1" x14ac:dyDescent="0.25">
      <c r="A3" s="494" t="s">
        <v>201</v>
      </c>
      <c r="B3" s="394" t="s">
        <v>422</v>
      </c>
      <c r="C3" s="408" t="s">
        <v>60</v>
      </c>
    </row>
    <row r="4" spans="1:3" s="502" customFormat="1" ht="15.95" customHeight="1" thickBot="1" x14ac:dyDescent="0.3">
      <c r="A4" s="259"/>
      <c r="B4" s="259"/>
      <c r="C4" s="260" t="s">
        <v>55</v>
      </c>
    </row>
    <row r="5" spans="1:3" ht="13.5" thickBot="1" x14ac:dyDescent="0.25">
      <c r="A5" s="452" t="s">
        <v>203</v>
      </c>
      <c r="B5" s="261" t="s">
        <v>567</v>
      </c>
      <c r="C5" s="262" t="s">
        <v>56</v>
      </c>
    </row>
    <row r="6" spans="1:3" s="503" customFormat="1" ht="12.95" customHeight="1" thickBot="1" x14ac:dyDescent="0.25">
      <c r="A6" s="223"/>
      <c r="B6" s="224" t="s">
        <v>496</v>
      </c>
      <c r="C6" s="225" t="s">
        <v>497</v>
      </c>
    </row>
    <row r="7" spans="1:3" s="503" customFormat="1" ht="15.95" customHeight="1" thickBot="1" x14ac:dyDescent="0.25">
      <c r="A7" s="263"/>
      <c r="B7" s="264" t="s">
        <v>57</v>
      </c>
      <c r="C7" s="265"/>
    </row>
    <row r="8" spans="1:3" s="409" customFormat="1" ht="12" customHeight="1" thickBot="1" x14ac:dyDescent="0.25">
      <c r="A8" s="223" t="s">
        <v>18</v>
      </c>
      <c r="B8" s="266" t="s">
        <v>522</v>
      </c>
      <c r="C8" s="352">
        <f>SUM(C9:C19)</f>
        <v>0</v>
      </c>
    </row>
    <row r="9" spans="1:3" s="409" customFormat="1" ht="12" customHeight="1" x14ac:dyDescent="0.2">
      <c r="A9" s="495" t="s">
        <v>100</v>
      </c>
      <c r="B9" s="10" t="s">
        <v>277</v>
      </c>
      <c r="C9" s="398"/>
    </row>
    <row r="10" spans="1:3" s="409" customFormat="1" ht="12" customHeight="1" x14ac:dyDescent="0.2">
      <c r="A10" s="496" t="s">
        <v>101</v>
      </c>
      <c r="B10" s="8" t="s">
        <v>278</v>
      </c>
      <c r="C10" s="350"/>
    </row>
    <row r="11" spans="1:3" s="409" customFormat="1" ht="12" customHeight="1" x14ac:dyDescent="0.2">
      <c r="A11" s="496" t="s">
        <v>102</v>
      </c>
      <c r="B11" s="8" t="s">
        <v>279</v>
      </c>
      <c r="C11" s="350"/>
    </row>
    <row r="12" spans="1:3" s="409" customFormat="1" ht="12" customHeight="1" x14ac:dyDescent="0.2">
      <c r="A12" s="496" t="s">
        <v>103</v>
      </c>
      <c r="B12" s="8" t="s">
        <v>280</v>
      </c>
      <c r="C12" s="350"/>
    </row>
    <row r="13" spans="1:3" s="409" customFormat="1" ht="12" customHeight="1" x14ac:dyDescent="0.2">
      <c r="A13" s="496" t="s">
        <v>149</v>
      </c>
      <c r="B13" s="8" t="s">
        <v>281</v>
      </c>
      <c r="C13" s="350"/>
    </row>
    <row r="14" spans="1:3" s="409" customFormat="1" ht="12" customHeight="1" x14ac:dyDescent="0.2">
      <c r="A14" s="496" t="s">
        <v>104</v>
      </c>
      <c r="B14" s="8" t="s">
        <v>403</v>
      </c>
      <c r="C14" s="350"/>
    </row>
    <row r="15" spans="1:3" s="409" customFormat="1" ht="12" customHeight="1" x14ac:dyDescent="0.2">
      <c r="A15" s="496" t="s">
        <v>105</v>
      </c>
      <c r="B15" s="7" t="s">
        <v>404</v>
      </c>
      <c r="C15" s="350"/>
    </row>
    <row r="16" spans="1:3" s="409" customFormat="1" ht="12" customHeight="1" x14ac:dyDescent="0.2">
      <c r="A16" s="496" t="s">
        <v>115</v>
      </c>
      <c r="B16" s="8" t="s">
        <v>284</v>
      </c>
      <c r="C16" s="399"/>
    </row>
    <row r="17" spans="1:3" s="504" customFormat="1" ht="12" customHeight="1" x14ac:dyDescent="0.2">
      <c r="A17" s="496" t="s">
        <v>116</v>
      </c>
      <c r="B17" s="8" t="s">
        <v>285</v>
      </c>
      <c r="C17" s="350"/>
    </row>
    <row r="18" spans="1:3" s="504" customFormat="1" ht="12" customHeight="1" x14ac:dyDescent="0.2">
      <c r="A18" s="496" t="s">
        <v>117</v>
      </c>
      <c r="B18" s="8" t="s">
        <v>440</v>
      </c>
      <c r="C18" s="351"/>
    </row>
    <row r="19" spans="1:3" s="504" customFormat="1" ht="12" customHeight="1" thickBot="1" x14ac:dyDescent="0.25">
      <c r="A19" s="496" t="s">
        <v>118</v>
      </c>
      <c r="B19" s="7" t="s">
        <v>286</v>
      </c>
      <c r="C19" s="351"/>
    </row>
    <row r="20" spans="1:3" s="409" customFormat="1" ht="12" customHeight="1" thickBot="1" x14ac:dyDescent="0.25">
      <c r="A20" s="223" t="s">
        <v>19</v>
      </c>
      <c r="B20" s="266" t="s">
        <v>405</v>
      </c>
      <c r="C20" s="352">
        <f>SUM(C21:C23)</f>
        <v>0</v>
      </c>
    </row>
    <row r="21" spans="1:3" s="504" customFormat="1" ht="12" customHeight="1" x14ac:dyDescent="0.2">
      <c r="A21" s="496" t="s">
        <v>106</v>
      </c>
      <c r="B21" s="9" t="s">
        <v>258</v>
      </c>
      <c r="C21" s="350"/>
    </row>
    <row r="22" spans="1:3" s="504" customFormat="1" ht="12" customHeight="1" x14ac:dyDescent="0.2">
      <c r="A22" s="496" t="s">
        <v>107</v>
      </c>
      <c r="B22" s="8" t="s">
        <v>406</v>
      </c>
      <c r="C22" s="350"/>
    </row>
    <row r="23" spans="1:3" s="504" customFormat="1" ht="12" customHeight="1" x14ac:dyDescent="0.2">
      <c r="A23" s="496" t="s">
        <v>108</v>
      </c>
      <c r="B23" s="8" t="s">
        <v>407</v>
      </c>
      <c r="C23" s="350"/>
    </row>
    <row r="24" spans="1:3" s="504" customFormat="1" ht="12" customHeight="1" thickBot="1" x14ac:dyDescent="0.25">
      <c r="A24" s="496" t="s">
        <v>109</v>
      </c>
      <c r="B24" s="8" t="s">
        <v>527</v>
      </c>
      <c r="C24" s="350"/>
    </row>
    <row r="25" spans="1:3" s="504" customFormat="1" ht="12" customHeight="1" thickBot="1" x14ac:dyDescent="0.25">
      <c r="A25" s="230" t="s">
        <v>20</v>
      </c>
      <c r="B25" s="150" t="s">
        <v>172</v>
      </c>
      <c r="C25" s="379"/>
    </row>
    <row r="26" spans="1:3" s="504" customFormat="1" ht="12" customHeight="1" thickBot="1" x14ac:dyDescent="0.25">
      <c r="A26" s="230" t="s">
        <v>21</v>
      </c>
      <c r="B26" s="150" t="s">
        <v>408</v>
      </c>
      <c r="C26" s="352">
        <f>+C27+C28</f>
        <v>0</v>
      </c>
    </row>
    <row r="27" spans="1:3" s="504" customFormat="1" ht="12" customHeight="1" x14ac:dyDescent="0.2">
      <c r="A27" s="497" t="s">
        <v>268</v>
      </c>
      <c r="B27" s="498" t="s">
        <v>406</v>
      </c>
      <c r="C27" s="94"/>
    </row>
    <row r="28" spans="1:3" s="504" customFormat="1" ht="12" customHeight="1" x14ac:dyDescent="0.2">
      <c r="A28" s="497" t="s">
        <v>269</v>
      </c>
      <c r="B28" s="499" t="s">
        <v>409</v>
      </c>
      <c r="C28" s="353"/>
    </row>
    <row r="29" spans="1:3" s="504" customFormat="1" ht="12" customHeight="1" thickBot="1" x14ac:dyDescent="0.25">
      <c r="A29" s="496" t="s">
        <v>270</v>
      </c>
      <c r="B29" s="166" t="s">
        <v>528</v>
      </c>
      <c r="C29" s="101"/>
    </row>
    <row r="30" spans="1:3" s="504" customFormat="1" ht="12" customHeight="1" thickBot="1" x14ac:dyDescent="0.25">
      <c r="A30" s="230" t="s">
        <v>22</v>
      </c>
      <c r="B30" s="150" t="s">
        <v>410</v>
      </c>
      <c r="C30" s="352">
        <f>+C31+C32+C33</f>
        <v>0</v>
      </c>
    </row>
    <row r="31" spans="1:3" s="504" customFormat="1" ht="12" customHeight="1" x14ac:dyDescent="0.2">
      <c r="A31" s="497" t="s">
        <v>93</v>
      </c>
      <c r="B31" s="498" t="s">
        <v>291</v>
      </c>
      <c r="C31" s="94"/>
    </row>
    <row r="32" spans="1:3" s="504" customFormat="1" ht="12" customHeight="1" x14ac:dyDescent="0.2">
      <c r="A32" s="497" t="s">
        <v>94</v>
      </c>
      <c r="B32" s="499" t="s">
        <v>292</v>
      </c>
      <c r="C32" s="353"/>
    </row>
    <row r="33" spans="1:3" s="504" customFormat="1" ht="12" customHeight="1" thickBot="1" x14ac:dyDescent="0.25">
      <c r="A33" s="496" t="s">
        <v>95</v>
      </c>
      <c r="B33" s="166" t="s">
        <v>293</v>
      </c>
      <c r="C33" s="101"/>
    </row>
    <row r="34" spans="1:3" s="409" customFormat="1" ht="12" customHeight="1" thickBot="1" x14ac:dyDescent="0.25">
      <c r="A34" s="230" t="s">
        <v>23</v>
      </c>
      <c r="B34" s="150" t="s">
        <v>379</v>
      </c>
      <c r="C34" s="379"/>
    </row>
    <row r="35" spans="1:3" s="409" customFormat="1" ht="12" customHeight="1" thickBot="1" x14ac:dyDescent="0.25">
      <c r="A35" s="230" t="s">
        <v>24</v>
      </c>
      <c r="B35" s="150" t="s">
        <v>411</v>
      </c>
      <c r="C35" s="400"/>
    </row>
    <row r="36" spans="1:3" s="409" customFormat="1" ht="12" customHeight="1" thickBot="1" x14ac:dyDescent="0.25">
      <c r="A36" s="223" t="s">
        <v>25</v>
      </c>
      <c r="B36" s="150" t="s">
        <v>529</v>
      </c>
      <c r="C36" s="401">
        <f>+C8+C20+C25+C26+C30+C34+C35</f>
        <v>0</v>
      </c>
    </row>
    <row r="37" spans="1:3" s="409" customFormat="1" ht="12" customHeight="1" thickBot="1" x14ac:dyDescent="0.25">
      <c r="A37" s="267" t="s">
        <v>26</v>
      </c>
      <c r="B37" s="150" t="s">
        <v>413</v>
      </c>
      <c r="C37" s="401">
        <f>+C38+C39+C40</f>
        <v>0</v>
      </c>
    </row>
    <row r="38" spans="1:3" s="409" customFormat="1" ht="12" customHeight="1" x14ac:dyDescent="0.2">
      <c r="A38" s="497" t="s">
        <v>414</v>
      </c>
      <c r="B38" s="498" t="s">
        <v>236</v>
      </c>
      <c r="C38" s="94"/>
    </row>
    <row r="39" spans="1:3" s="409" customFormat="1" ht="12" customHeight="1" x14ac:dyDescent="0.2">
      <c r="A39" s="497" t="s">
        <v>415</v>
      </c>
      <c r="B39" s="499" t="s">
        <v>2</v>
      </c>
      <c r="C39" s="353"/>
    </row>
    <row r="40" spans="1:3" s="504" customFormat="1" ht="12" customHeight="1" thickBot="1" x14ac:dyDescent="0.25">
      <c r="A40" s="496" t="s">
        <v>416</v>
      </c>
      <c r="B40" s="166" t="s">
        <v>417</v>
      </c>
      <c r="C40" s="101"/>
    </row>
    <row r="41" spans="1:3" s="504" customFormat="1" ht="15" customHeight="1" thickBot="1" x14ac:dyDescent="0.25">
      <c r="A41" s="267" t="s">
        <v>27</v>
      </c>
      <c r="B41" s="268" t="s">
        <v>418</v>
      </c>
      <c r="C41" s="404">
        <f>+C36+C37</f>
        <v>0</v>
      </c>
    </row>
    <row r="42" spans="1:3" s="504" customFormat="1" ht="15" customHeight="1" x14ac:dyDescent="0.2">
      <c r="A42" s="269"/>
      <c r="B42" s="270"/>
      <c r="C42" s="402"/>
    </row>
    <row r="43" spans="1:3" ht="13.5" thickBot="1" x14ac:dyDescent="0.25">
      <c r="A43" s="271"/>
      <c r="B43" s="272"/>
      <c r="C43" s="403"/>
    </row>
    <row r="44" spans="1:3" s="503" customFormat="1" ht="16.5" customHeight="1" thickBot="1" x14ac:dyDescent="0.25">
      <c r="A44" s="273"/>
      <c r="B44" s="274" t="s">
        <v>58</v>
      </c>
      <c r="C44" s="404"/>
    </row>
    <row r="45" spans="1:3" s="505" customFormat="1" ht="12" customHeight="1" thickBot="1" x14ac:dyDescent="0.25">
      <c r="A45" s="230" t="s">
        <v>18</v>
      </c>
      <c r="B45" s="150" t="s">
        <v>419</v>
      </c>
      <c r="C45" s="352">
        <f>SUM(C46:C50)</f>
        <v>0</v>
      </c>
    </row>
    <row r="46" spans="1:3" ht="12" customHeight="1" x14ac:dyDescent="0.2">
      <c r="A46" s="496" t="s">
        <v>100</v>
      </c>
      <c r="B46" s="9" t="s">
        <v>49</v>
      </c>
      <c r="C46" s="94"/>
    </row>
    <row r="47" spans="1:3" ht="12" customHeight="1" x14ac:dyDescent="0.2">
      <c r="A47" s="496" t="s">
        <v>101</v>
      </c>
      <c r="B47" s="8" t="s">
        <v>181</v>
      </c>
      <c r="C47" s="97"/>
    </row>
    <row r="48" spans="1:3" ht="12" customHeight="1" x14ac:dyDescent="0.2">
      <c r="A48" s="496" t="s">
        <v>102</v>
      </c>
      <c r="B48" s="8" t="s">
        <v>142</v>
      </c>
      <c r="C48" s="97"/>
    </row>
    <row r="49" spans="1:3" ht="12" customHeight="1" x14ac:dyDescent="0.2">
      <c r="A49" s="496" t="s">
        <v>103</v>
      </c>
      <c r="B49" s="8" t="s">
        <v>182</v>
      </c>
      <c r="C49" s="97"/>
    </row>
    <row r="50" spans="1:3" ht="12" customHeight="1" thickBot="1" x14ac:dyDescent="0.25">
      <c r="A50" s="496" t="s">
        <v>149</v>
      </c>
      <c r="B50" s="8" t="s">
        <v>183</v>
      </c>
      <c r="C50" s="97"/>
    </row>
    <row r="51" spans="1:3" ht="12" customHeight="1" thickBot="1" x14ac:dyDescent="0.25">
      <c r="A51" s="230" t="s">
        <v>19</v>
      </c>
      <c r="B51" s="150" t="s">
        <v>420</v>
      </c>
      <c r="C51" s="352">
        <f>SUM(C52:C54)</f>
        <v>0</v>
      </c>
    </row>
    <row r="52" spans="1:3" s="505" customFormat="1" ht="12" customHeight="1" x14ac:dyDescent="0.2">
      <c r="A52" s="496" t="s">
        <v>106</v>
      </c>
      <c r="B52" s="9" t="s">
        <v>226</v>
      </c>
      <c r="C52" s="94"/>
    </row>
    <row r="53" spans="1:3" ht="12" customHeight="1" x14ac:dyDescent="0.2">
      <c r="A53" s="496" t="s">
        <v>107</v>
      </c>
      <c r="B53" s="8" t="s">
        <v>185</v>
      </c>
      <c r="C53" s="97"/>
    </row>
    <row r="54" spans="1:3" ht="12" customHeight="1" x14ac:dyDescent="0.2">
      <c r="A54" s="496" t="s">
        <v>108</v>
      </c>
      <c r="B54" s="8" t="s">
        <v>59</v>
      </c>
      <c r="C54" s="97"/>
    </row>
    <row r="55" spans="1:3" ht="12" customHeight="1" thickBot="1" x14ac:dyDescent="0.25">
      <c r="A55" s="496" t="s">
        <v>109</v>
      </c>
      <c r="B55" s="8" t="s">
        <v>526</v>
      </c>
      <c r="C55" s="97"/>
    </row>
    <row r="56" spans="1:3" ht="15" customHeight="1" thickBot="1" x14ac:dyDescent="0.25">
      <c r="A56" s="230" t="s">
        <v>20</v>
      </c>
      <c r="B56" s="150" t="s">
        <v>12</v>
      </c>
      <c r="C56" s="379"/>
    </row>
    <row r="57" spans="1:3" ht="13.5" thickBot="1" x14ac:dyDescent="0.25">
      <c r="A57" s="230" t="s">
        <v>21</v>
      </c>
      <c r="B57" s="275" t="s">
        <v>533</v>
      </c>
      <c r="C57" s="405">
        <f>+C45+C51+C56</f>
        <v>0</v>
      </c>
    </row>
    <row r="58" spans="1:3" ht="15" customHeight="1" thickBot="1" x14ac:dyDescent="0.25">
      <c r="C58" s="406"/>
    </row>
    <row r="59" spans="1:3" ht="14.25" customHeight="1" thickBot="1" x14ac:dyDescent="0.25">
      <c r="A59" s="278" t="s">
        <v>521</v>
      </c>
      <c r="B59" s="279"/>
      <c r="C59" s="147"/>
    </row>
    <row r="60" spans="1:3" ht="13.5" thickBot="1" x14ac:dyDescent="0.25">
      <c r="A60" s="278" t="s">
        <v>204</v>
      </c>
      <c r="B60" s="279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2" sqref="C2"/>
    </sheetView>
  </sheetViews>
  <sheetFormatPr defaultRowHeight="12.75" x14ac:dyDescent="0.2"/>
  <cols>
    <col min="1" max="1" width="13.83203125" style="276" customWidth="1"/>
    <col min="2" max="2" width="79.1640625" style="277" customWidth="1"/>
    <col min="3" max="3" width="25" style="277" customWidth="1"/>
    <col min="4" max="16384" width="9.33203125" style="277"/>
  </cols>
  <sheetData>
    <row r="1" spans="1:3" s="256" customFormat="1" ht="21" customHeight="1" thickBot="1" x14ac:dyDescent="0.25">
      <c r="A1" s="255"/>
      <c r="B1" s="257"/>
      <c r="C1" s="500" t="str">
        <f>+CONCATENATE("9.6.3. melléklet a 6/",LEFT(ÖSSZEFÜGGÉSEK!A5,4),". (III. 13.) önkormányzati rendelethez")</f>
        <v>9.6.3. melléklet a 6/2017. (III. 13.) önkormányzati rendelethez</v>
      </c>
    </row>
    <row r="2" spans="1:3" s="501" customFormat="1" ht="25.5" customHeight="1" x14ac:dyDescent="0.2">
      <c r="A2" s="451" t="s">
        <v>202</v>
      </c>
      <c r="B2" s="393" t="s">
        <v>653</v>
      </c>
      <c r="C2" s="407" t="s">
        <v>654</v>
      </c>
    </row>
    <row r="3" spans="1:3" s="501" customFormat="1" ht="24.75" thickBot="1" x14ac:dyDescent="0.25">
      <c r="A3" s="494" t="s">
        <v>201</v>
      </c>
      <c r="B3" s="394" t="s">
        <v>534</v>
      </c>
      <c r="C3" s="408" t="s">
        <v>61</v>
      </c>
    </row>
    <row r="4" spans="1:3" s="502" customFormat="1" ht="15.95" customHeight="1" thickBot="1" x14ac:dyDescent="0.3">
      <c r="A4" s="259"/>
      <c r="B4" s="259"/>
      <c r="C4" s="260" t="s">
        <v>55</v>
      </c>
    </row>
    <row r="5" spans="1:3" ht="13.5" thickBot="1" x14ac:dyDescent="0.25">
      <c r="A5" s="452" t="s">
        <v>203</v>
      </c>
      <c r="B5" s="261" t="s">
        <v>567</v>
      </c>
      <c r="C5" s="262" t="s">
        <v>56</v>
      </c>
    </row>
    <row r="6" spans="1:3" s="503" customFormat="1" ht="12.95" customHeight="1" thickBot="1" x14ac:dyDescent="0.25">
      <c r="A6" s="223"/>
      <c r="B6" s="224" t="s">
        <v>496</v>
      </c>
      <c r="C6" s="225" t="s">
        <v>497</v>
      </c>
    </row>
    <row r="7" spans="1:3" s="503" customFormat="1" ht="15.95" customHeight="1" thickBot="1" x14ac:dyDescent="0.25">
      <c r="A7" s="263"/>
      <c r="B7" s="264" t="s">
        <v>57</v>
      </c>
      <c r="C7" s="265"/>
    </row>
    <row r="8" spans="1:3" s="409" customFormat="1" ht="12" customHeight="1" thickBot="1" x14ac:dyDescent="0.25">
      <c r="A8" s="223" t="s">
        <v>18</v>
      </c>
      <c r="B8" s="266" t="s">
        <v>522</v>
      </c>
      <c r="C8" s="352">
        <f>SUM(C9:C19)</f>
        <v>0</v>
      </c>
    </row>
    <row r="9" spans="1:3" s="409" customFormat="1" ht="12" customHeight="1" x14ac:dyDescent="0.2">
      <c r="A9" s="495" t="s">
        <v>100</v>
      </c>
      <c r="B9" s="10" t="s">
        <v>277</v>
      </c>
      <c r="C9" s="398"/>
    </row>
    <row r="10" spans="1:3" s="409" customFormat="1" ht="12" customHeight="1" x14ac:dyDescent="0.2">
      <c r="A10" s="496" t="s">
        <v>101</v>
      </c>
      <c r="B10" s="8" t="s">
        <v>278</v>
      </c>
      <c r="C10" s="350"/>
    </row>
    <row r="11" spans="1:3" s="409" customFormat="1" ht="12" customHeight="1" x14ac:dyDescent="0.2">
      <c r="A11" s="496" t="s">
        <v>102</v>
      </c>
      <c r="B11" s="8" t="s">
        <v>279</v>
      </c>
      <c r="C11" s="350"/>
    </row>
    <row r="12" spans="1:3" s="409" customFormat="1" ht="12" customHeight="1" x14ac:dyDescent="0.2">
      <c r="A12" s="496" t="s">
        <v>103</v>
      </c>
      <c r="B12" s="8" t="s">
        <v>280</v>
      </c>
      <c r="C12" s="350"/>
    </row>
    <row r="13" spans="1:3" s="409" customFormat="1" ht="12" customHeight="1" x14ac:dyDescent="0.2">
      <c r="A13" s="496" t="s">
        <v>149</v>
      </c>
      <c r="B13" s="8" t="s">
        <v>281</v>
      </c>
      <c r="C13" s="350"/>
    </row>
    <row r="14" spans="1:3" s="409" customFormat="1" ht="12" customHeight="1" x14ac:dyDescent="0.2">
      <c r="A14" s="496" t="s">
        <v>104</v>
      </c>
      <c r="B14" s="8" t="s">
        <v>403</v>
      </c>
      <c r="C14" s="350"/>
    </row>
    <row r="15" spans="1:3" s="409" customFormat="1" ht="12" customHeight="1" x14ac:dyDescent="0.2">
      <c r="A15" s="496" t="s">
        <v>105</v>
      </c>
      <c r="B15" s="7" t="s">
        <v>404</v>
      </c>
      <c r="C15" s="350"/>
    </row>
    <row r="16" spans="1:3" s="409" customFormat="1" ht="12" customHeight="1" x14ac:dyDescent="0.2">
      <c r="A16" s="496" t="s">
        <v>115</v>
      </c>
      <c r="B16" s="8" t="s">
        <v>284</v>
      </c>
      <c r="C16" s="399"/>
    </row>
    <row r="17" spans="1:3" s="504" customFormat="1" ht="12" customHeight="1" x14ac:dyDescent="0.2">
      <c r="A17" s="496" t="s">
        <v>116</v>
      </c>
      <c r="B17" s="8" t="s">
        <v>285</v>
      </c>
      <c r="C17" s="350"/>
    </row>
    <row r="18" spans="1:3" s="504" customFormat="1" ht="12" customHeight="1" x14ac:dyDescent="0.2">
      <c r="A18" s="496" t="s">
        <v>117</v>
      </c>
      <c r="B18" s="8" t="s">
        <v>440</v>
      </c>
      <c r="C18" s="351"/>
    </row>
    <row r="19" spans="1:3" s="504" customFormat="1" ht="12" customHeight="1" thickBot="1" x14ac:dyDescent="0.25">
      <c r="A19" s="496" t="s">
        <v>118</v>
      </c>
      <c r="B19" s="7" t="s">
        <v>286</v>
      </c>
      <c r="C19" s="351"/>
    </row>
    <row r="20" spans="1:3" s="409" customFormat="1" ht="12" customHeight="1" thickBot="1" x14ac:dyDescent="0.25">
      <c r="A20" s="223" t="s">
        <v>19</v>
      </c>
      <c r="B20" s="266" t="s">
        <v>405</v>
      </c>
      <c r="C20" s="352">
        <f>SUM(C21:C23)</f>
        <v>0</v>
      </c>
    </row>
    <row r="21" spans="1:3" s="504" customFormat="1" ht="12" customHeight="1" x14ac:dyDescent="0.2">
      <c r="A21" s="496" t="s">
        <v>106</v>
      </c>
      <c r="B21" s="9" t="s">
        <v>258</v>
      </c>
      <c r="C21" s="350"/>
    </row>
    <row r="22" spans="1:3" s="504" customFormat="1" ht="12" customHeight="1" x14ac:dyDescent="0.2">
      <c r="A22" s="496" t="s">
        <v>107</v>
      </c>
      <c r="B22" s="8" t="s">
        <v>406</v>
      </c>
      <c r="C22" s="350"/>
    </row>
    <row r="23" spans="1:3" s="504" customFormat="1" ht="12" customHeight="1" x14ac:dyDescent="0.2">
      <c r="A23" s="496" t="s">
        <v>108</v>
      </c>
      <c r="B23" s="8" t="s">
        <v>407</v>
      </c>
      <c r="C23" s="350"/>
    </row>
    <row r="24" spans="1:3" s="504" customFormat="1" ht="12" customHeight="1" thickBot="1" x14ac:dyDescent="0.25">
      <c r="A24" s="496" t="s">
        <v>109</v>
      </c>
      <c r="B24" s="8" t="s">
        <v>527</v>
      </c>
      <c r="C24" s="350"/>
    </row>
    <row r="25" spans="1:3" s="504" customFormat="1" ht="12" customHeight="1" thickBot="1" x14ac:dyDescent="0.25">
      <c r="A25" s="230" t="s">
        <v>20</v>
      </c>
      <c r="B25" s="150" t="s">
        <v>172</v>
      </c>
      <c r="C25" s="379"/>
    </row>
    <row r="26" spans="1:3" s="504" customFormat="1" ht="12" customHeight="1" thickBot="1" x14ac:dyDescent="0.25">
      <c r="A26" s="230" t="s">
        <v>21</v>
      </c>
      <c r="B26" s="150" t="s">
        <v>408</v>
      </c>
      <c r="C26" s="352">
        <f>+C27+C28</f>
        <v>0</v>
      </c>
    </row>
    <row r="27" spans="1:3" s="504" customFormat="1" ht="12" customHeight="1" x14ac:dyDescent="0.2">
      <c r="A27" s="497" t="s">
        <v>268</v>
      </c>
      <c r="B27" s="498" t="s">
        <v>406</v>
      </c>
      <c r="C27" s="94"/>
    </row>
    <row r="28" spans="1:3" s="504" customFormat="1" ht="12" customHeight="1" x14ac:dyDescent="0.2">
      <c r="A28" s="497" t="s">
        <v>269</v>
      </c>
      <c r="B28" s="499" t="s">
        <v>409</v>
      </c>
      <c r="C28" s="353"/>
    </row>
    <row r="29" spans="1:3" s="504" customFormat="1" ht="12" customHeight="1" thickBot="1" x14ac:dyDescent="0.25">
      <c r="A29" s="496" t="s">
        <v>270</v>
      </c>
      <c r="B29" s="166" t="s">
        <v>528</v>
      </c>
      <c r="C29" s="101"/>
    </row>
    <row r="30" spans="1:3" s="504" customFormat="1" ht="12" customHeight="1" thickBot="1" x14ac:dyDescent="0.25">
      <c r="A30" s="230" t="s">
        <v>22</v>
      </c>
      <c r="B30" s="150" t="s">
        <v>410</v>
      </c>
      <c r="C30" s="352">
        <f>+C31+C32+C33</f>
        <v>0</v>
      </c>
    </row>
    <row r="31" spans="1:3" s="504" customFormat="1" ht="12" customHeight="1" x14ac:dyDescent="0.2">
      <c r="A31" s="497" t="s">
        <v>93</v>
      </c>
      <c r="B31" s="498" t="s">
        <v>291</v>
      </c>
      <c r="C31" s="94"/>
    </row>
    <row r="32" spans="1:3" s="504" customFormat="1" ht="12" customHeight="1" x14ac:dyDescent="0.2">
      <c r="A32" s="497" t="s">
        <v>94</v>
      </c>
      <c r="B32" s="499" t="s">
        <v>292</v>
      </c>
      <c r="C32" s="353"/>
    </row>
    <row r="33" spans="1:3" s="504" customFormat="1" ht="12" customHeight="1" thickBot="1" x14ac:dyDescent="0.25">
      <c r="A33" s="496" t="s">
        <v>95</v>
      </c>
      <c r="B33" s="166" t="s">
        <v>293</v>
      </c>
      <c r="C33" s="101"/>
    </row>
    <row r="34" spans="1:3" s="409" customFormat="1" ht="12" customHeight="1" thickBot="1" x14ac:dyDescent="0.25">
      <c r="A34" s="230" t="s">
        <v>23</v>
      </c>
      <c r="B34" s="150" t="s">
        <v>379</v>
      </c>
      <c r="C34" s="379"/>
    </row>
    <row r="35" spans="1:3" s="409" customFormat="1" ht="12" customHeight="1" thickBot="1" x14ac:dyDescent="0.25">
      <c r="A35" s="230" t="s">
        <v>24</v>
      </c>
      <c r="B35" s="150" t="s">
        <v>411</v>
      </c>
      <c r="C35" s="400"/>
    </row>
    <row r="36" spans="1:3" s="409" customFormat="1" ht="12" customHeight="1" thickBot="1" x14ac:dyDescent="0.25">
      <c r="A36" s="223" t="s">
        <v>25</v>
      </c>
      <c r="B36" s="150" t="s">
        <v>529</v>
      </c>
      <c r="C36" s="401">
        <f>+C8+C20+C25+C26+C30+C34+C35</f>
        <v>0</v>
      </c>
    </row>
    <row r="37" spans="1:3" s="409" customFormat="1" ht="12" customHeight="1" thickBot="1" x14ac:dyDescent="0.25">
      <c r="A37" s="267" t="s">
        <v>26</v>
      </c>
      <c r="B37" s="150" t="s">
        <v>413</v>
      </c>
      <c r="C37" s="401">
        <f>+C38+C39+C40</f>
        <v>0</v>
      </c>
    </row>
    <row r="38" spans="1:3" s="409" customFormat="1" ht="12" customHeight="1" x14ac:dyDescent="0.2">
      <c r="A38" s="497" t="s">
        <v>414</v>
      </c>
      <c r="B38" s="498" t="s">
        <v>236</v>
      </c>
      <c r="C38" s="94"/>
    </row>
    <row r="39" spans="1:3" s="409" customFormat="1" ht="12" customHeight="1" x14ac:dyDescent="0.2">
      <c r="A39" s="497" t="s">
        <v>415</v>
      </c>
      <c r="B39" s="499" t="s">
        <v>2</v>
      </c>
      <c r="C39" s="353"/>
    </row>
    <row r="40" spans="1:3" s="504" customFormat="1" ht="12" customHeight="1" thickBot="1" x14ac:dyDescent="0.25">
      <c r="A40" s="496" t="s">
        <v>416</v>
      </c>
      <c r="B40" s="166" t="s">
        <v>417</v>
      </c>
      <c r="C40" s="101"/>
    </row>
    <row r="41" spans="1:3" s="504" customFormat="1" ht="15" customHeight="1" thickBot="1" x14ac:dyDescent="0.25">
      <c r="A41" s="267" t="s">
        <v>27</v>
      </c>
      <c r="B41" s="268" t="s">
        <v>418</v>
      </c>
      <c r="C41" s="404">
        <f>+C36+C37</f>
        <v>0</v>
      </c>
    </row>
    <row r="42" spans="1:3" s="504" customFormat="1" ht="15" customHeight="1" x14ac:dyDescent="0.2">
      <c r="A42" s="269"/>
      <c r="B42" s="270"/>
      <c r="C42" s="402"/>
    </row>
    <row r="43" spans="1:3" ht="13.5" thickBot="1" x14ac:dyDescent="0.25">
      <c r="A43" s="271"/>
      <c r="B43" s="272"/>
      <c r="C43" s="403"/>
    </row>
    <row r="44" spans="1:3" s="503" customFormat="1" ht="16.5" customHeight="1" thickBot="1" x14ac:dyDescent="0.25">
      <c r="A44" s="273"/>
      <c r="B44" s="274" t="s">
        <v>58</v>
      </c>
      <c r="C44" s="404"/>
    </row>
    <row r="45" spans="1:3" s="505" customFormat="1" ht="12" customHeight="1" thickBot="1" x14ac:dyDescent="0.25">
      <c r="A45" s="230" t="s">
        <v>18</v>
      </c>
      <c r="B45" s="150" t="s">
        <v>419</v>
      </c>
      <c r="C45" s="352">
        <f>SUM(C46:C50)</f>
        <v>0</v>
      </c>
    </row>
    <row r="46" spans="1:3" ht="12" customHeight="1" x14ac:dyDescent="0.2">
      <c r="A46" s="496" t="s">
        <v>100</v>
      </c>
      <c r="B46" s="9" t="s">
        <v>49</v>
      </c>
      <c r="C46" s="94"/>
    </row>
    <row r="47" spans="1:3" ht="12" customHeight="1" x14ac:dyDescent="0.2">
      <c r="A47" s="496" t="s">
        <v>101</v>
      </c>
      <c r="B47" s="8" t="s">
        <v>181</v>
      </c>
      <c r="C47" s="97"/>
    </row>
    <row r="48" spans="1:3" ht="12" customHeight="1" x14ac:dyDescent="0.2">
      <c r="A48" s="496" t="s">
        <v>102</v>
      </c>
      <c r="B48" s="8" t="s">
        <v>142</v>
      </c>
      <c r="C48" s="97"/>
    </row>
    <row r="49" spans="1:3" ht="12" customHeight="1" x14ac:dyDescent="0.2">
      <c r="A49" s="496" t="s">
        <v>103</v>
      </c>
      <c r="B49" s="8" t="s">
        <v>182</v>
      </c>
      <c r="C49" s="97"/>
    </row>
    <row r="50" spans="1:3" ht="12" customHeight="1" thickBot="1" x14ac:dyDescent="0.25">
      <c r="A50" s="496" t="s">
        <v>149</v>
      </c>
      <c r="B50" s="8" t="s">
        <v>183</v>
      </c>
      <c r="C50" s="97"/>
    </row>
    <row r="51" spans="1:3" ht="12" customHeight="1" thickBot="1" x14ac:dyDescent="0.25">
      <c r="A51" s="230" t="s">
        <v>19</v>
      </c>
      <c r="B51" s="150" t="s">
        <v>420</v>
      </c>
      <c r="C51" s="352">
        <f>SUM(C52:C54)</f>
        <v>0</v>
      </c>
    </row>
    <row r="52" spans="1:3" s="505" customFormat="1" ht="12" customHeight="1" x14ac:dyDescent="0.2">
      <c r="A52" s="496" t="s">
        <v>106</v>
      </c>
      <c r="B52" s="9" t="s">
        <v>226</v>
      </c>
      <c r="C52" s="94"/>
    </row>
    <row r="53" spans="1:3" ht="12" customHeight="1" x14ac:dyDescent="0.2">
      <c r="A53" s="496" t="s">
        <v>107</v>
      </c>
      <c r="B53" s="8" t="s">
        <v>185</v>
      </c>
      <c r="C53" s="97"/>
    </row>
    <row r="54" spans="1:3" ht="12" customHeight="1" x14ac:dyDescent="0.2">
      <c r="A54" s="496" t="s">
        <v>108</v>
      </c>
      <c r="B54" s="8" t="s">
        <v>59</v>
      </c>
      <c r="C54" s="97"/>
    </row>
    <row r="55" spans="1:3" ht="12" customHeight="1" thickBot="1" x14ac:dyDescent="0.25">
      <c r="A55" s="496" t="s">
        <v>109</v>
      </c>
      <c r="B55" s="8" t="s">
        <v>526</v>
      </c>
      <c r="C55" s="97"/>
    </row>
    <row r="56" spans="1:3" ht="15" customHeight="1" thickBot="1" x14ac:dyDescent="0.25">
      <c r="A56" s="230" t="s">
        <v>20</v>
      </c>
      <c r="B56" s="150" t="s">
        <v>12</v>
      </c>
      <c r="C56" s="379"/>
    </row>
    <row r="57" spans="1:3" ht="13.5" thickBot="1" x14ac:dyDescent="0.25">
      <c r="A57" s="230" t="s">
        <v>21</v>
      </c>
      <c r="B57" s="275" t="s">
        <v>533</v>
      </c>
      <c r="C57" s="405">
        <f>+C45+C51+C56</f>
        <v>0</v>
      </c>
    </row>
    <row r="58" spans="1:3" ht="15" customHeight="1" thickBot="1" x14ac:dyDescent="0.25">
      <c r="C58" s="406"/>
    </row>
    <row r="59" spans="1:3" ht="14.25" customHeight="1" thickBot="1" x14ac:dyDescent="0.25">
      <c r="A59" s="278" t="s">
        <v>521</v>
      </c>
      <c r="B59" s="279"/>
      <c r="C59" s="147"/>
    </row>
    <row r="60" spans="1:3" ht="13.5" thickBot="1" x14ac:dyDescent="0.25">
      <c r="A60" s="278" t="s">
        <v>204</v>
      </c>
      <c r="B60" s="279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6"/>
  <sheetViews>
    <sheetView view="pageLayout" zoomScaleNormal="100" workbookViewId="0">
      <selection activeCell="C3" sqref="C3:G3"/>
    </sheetView>
  </sheetViews>
  <sheetFormatPr defaultRowHeight="12.75" x14ac:dyDescent="0.2"/>
  <cols>
    <col min="1" max="1" width="5.5" style="52" customWidth="1"/>
    <col min="2" max="2" width="33.1640625" style="52" customWidth="1"/>
    <col min="3" max="3" width="12.33203125" style="52" customWidth="1"/>
    <col min="4" max="4" width="11.5" style="52" customWidth="1"/>
    <col min="5" max="5" width="11.33203125" style="52" customWidth="1"/>
    <col min="6" max="6" width="11" style="52" customWidth="1"/>
    <col min="7" max="7" width="14.33203125" style="52" customWidth="1"/>
    <col min="8" max="16384" width="9.33203125" style="52"/>
  </cols>
  <sheetData>
    <row r="1" spans="1:7" ht="43.5" customHeight="1" x14ac:dyDescent="0.25">
      <c r="A1" s="696" t="s">
        <v>3</v>
      </c>
      <c r="B1" s="696"/>
      <c r="C1" s="696"/>
      <c r="D1" s="696"/>
      <c r="E1" s="696"/>
      <c r="F1" s="696"/>
      <c r="G1" s="696"/>
    </row>
    <row r="3" spans="1:7" s="189" customFormat="1" ht="27" customHeight="1" x14ac:dyDescent="0.25">
      <c r="A3" s="187" t="s">
        <v>208</v>
      </c>
      <c r="B3" s="188"/>
      <c r="C3" s="695" t="s">
        <v>570</v>
      </c>
      <c r="D3" s="695"/>
      <c r="E3" s="695"/>
      <c r="F3" s="695"/>
      <c r="G3" s="695"/>
    </row>
    <row r="4" spans="1:7" s="189" customFormat="1" ht="15.75" x14ac:dyDescent="0.25">
      <c r="A4" s="188"/>
      <c r="B4" s="188"/>
      <c r="C4" s="188"/>
      <c r="D4" s="188"/>
      <c r="E4" s="188"/>
      <c r="F4" s="188"/>
      <c r="G4" s="188"/>
    </row>
    <row r="5" spans="1:7" s="189" customFormat="1" ht="24.75" customHeight="1" x14ac:dyDescent="0.25">
      <c r="A5" s="187" t="s">
        <v>209</v>
      </c>
      <c r="B5" s="188"/>
      <c r="C5" s="695" t="s">
        <v>616</v>
      </c>
      <c r="D5" s="695"/>
      <c r="E5" s="695"/>
      <c r="F5" s="695"/>
      <c r="G5" s="188"/>
    </row>
    <row r="6" spans="1:7" s="190" customFormat="1" x14ac:dyDescent="0.2">
      <c r="A6" s="240"/>
      <c r="B6" s="240"/>
      <c r="C6" s="240"/>
      <c r="D6" s="240"/>
      <c r="E6" s="240"/>
      <c r="F6" s="240"/>
      <c r="G6" s="240"/>
    </row>
    <row r="7" spans="1:7" s="191" customFormat="1" ht="15" customHeight="1" x14ac:dyDescent="0.25">
      <c r="A7" s="297" t="s">
        <v>711</v>
      </c>
      <c r="B7" s="296"/>
      <c r="C7" s="296"/>
      <c r="D7" s="282"/>
      <c r="E7" s="282"/>
      <c r="F7" s="282"/>
      <c r="G7" s="282"/>
    </row>
    <row r="8" spans="1:7" s="191" customFormat="1" ht="15" customHeight="1" thickBot="1" x14ac:dyDescent="0.3">
      <c r="A8" s="297" t="s">
        <v>617</v>
      </c>
      <c r="B8" s="282"/>
      <c r="C8" s="282"/>
      <c r="D8" s="282"/>
      <c r="E8" s="282"/>
      <c r="F8" s="282"/>
      <c r="G8" s="282"/>
    </row>
    <row r="9" spans="1:7" s="93" customFormat="1" ht="42" customHeight="1" thickBot="1" x14ac:dyDescent="0.25">
      <c r="A9" s="220" t="s">
        <v>16</v>
      </c>
      <c r="B9" s="221" t="s">
        <v>210</v>
      </c>
      <c r="C9" s="221" t="s">
        <v>211</v>
      </c>
      <c r="D9" s="221" t="s">
        <v>212</v>
      </c>
      <c r="E9" s="221" t="s">
        <v>213</v>
      </c>
      <c r="F9" s="221" t="s">
        <v>214</v>
      </c>
      <c r="G9" s="222" t="s">
        <v>53</v>
      </c>
    </row>
    <row r="10" spans="1:7" ht="24" customHeight="1" x14ac:dyDescent="0.2">
      <c r="A10" s="283" t="s">
        <v>18</v>
      </c>
      <c r="B10" s="228" t="s">
        <v>215</v>
      </c>
      <c r="C10" s="192"/>
      <c r="D10" s="192"/>
      <c r="E10" s="192"/>
      <c r="F10" s="192"/>
      <c r="G10" s="284">
        <f>SUM(C10:F10)</f>
        <v>0</v>
      </c>
    </row>
    <row r="11" spans="1:7" ht="24" customHeight="1" x14ac:dyDescent="0.2">
      <c r="A11" s="285" t="s">
        <v>19</v>
      </c>
      <c r="B11" s="229" t="s">
        <v>216</v>
      </c>
      <c r="C11" s="193"/>
      <c r="D11" s="193"/>
      <c r="E11" s="193"/>
      <c r="F11" s="193"/>
      <c r="G11" s="286">
        <f t="shared" ref="G11:G16" si="0">SUM(C11:F11)</f>
        <v>0</v>
      </c>
    </row>
    <row r="12" spans="1:7" ht="24" customHeight="1" x14ac:dyDescent="0.2">
      <c r="A12" s="285" t="s">
        <v>20</v>
      </c>
      <c r="B12" s="229" t="s">
        <v>217</v>
      </c>
      <c r="C12" s="193"/>
      <c r="D12" s="193"/>
      <c r="E12" s="193"/>
      <c r="F12" s="193"/>
      <c r="G12" s="286">
        <f t="shared" si="0"/>
        <v>0</v>
      </c>
    </row>
    <row r="13" spans="1:7" ht="24" customHeight="1" x14ac:dyDescent="0.2">
      <c r="A13" s="285" t="s">
        <v>21</v>
      </c>
      <c r="B13" s="229" t="s">
        <v>218</v>
      </c>
      <c r="C13" s="193"/>
      <c r="D13" s="193"/>
      <c r="E13" s="193"/>
      <c r="F13" s="193"/>
      <c r="G13" s="286">
        <f t="shared" si="0"/>
        <v>0</v>
      </c>
    </row>
    <row r="14" spans="1:7" ht="24" customHeight="1" x14ac:dyDescent="0.2">
      <c r="A14" s="285" t="s">
        <v>22</v>
      </c>
      <c r="B14" s="229" t="s">
        <v>219</v>
      </c>
      <c r="C14" s="193"/>
      <c r="D14" s="193"/>
      <c r="E14" s="193"/>
      <c r="F14" s="193"/>
      <c r="G14" s="286">
        <f t="shared" si="0"/>
        <v>0</v>
      </c>
    </row>
    <row r="15" spans="1:7" ht="24" customHeight="1" thickBot="1" x14ac:dyDescent="0.25">
      <c r="A15" s="287" t="s">
        <v>23</v>
      </c>
      <c r="B15" s="288" t="s">
        <v>220</v>
      </c>
      <c r="C15" s="194">
        <v>2565999</v>
      </c>
      <c r="D15" s="194"/>
      <c r="E15" s="194"/>
      <c r="F15" s="194"/>
      <c r="G15" s="289">
        <f t="shared" si="0"/>
        <v>2565999</v>
      </c>
    </row>
    <row r="16" spans="1:7" s="195" customFormat="1" ht="24" customHeight="1" thickBot="1" x14ac:dyDescent="0.25">
      <c r="A16" s="290" t="s">
        <v>24</v>
      </c>
      <c r="B16" s="291" t="s">
        <v>53</v>
      </c>
      <c r="C16" s="292">
        <f>SUM(C10:C15)</f>
        <v>2565999</v>
      </c>
      <c r="D16" s="292">
        <f>SUM(D10:D15)</f>
        <v>0</v>
      </c>
      <c r="E16" s="292">
        <f>SUM(E10:E15)</f>
        <v>0</v>
      </c>
      <c r="F16" s="292">
        <f>SUM(F10:F15)</f>
        <v>0</v>
      </c>
      <c r="G16" s="293">
        <f t="shared" si="0"/>
        <v>2565999</v>
      </c>
    </row>
    <row r="17" spans="1:7" s="190" customFormat="1" x14ac:dyDescent="0.2">
      <c r="A17" s="240"/>
      <c r="B17" s="240"/>
      <c r="C17" s="240"/>
      <c r="D17" s="240"/>
      <c r="E17" s="240"/>
      <c r="F17" s="240"/>
      <c r="G17" s="240"/>
    </row>
    <row r="18" spans="1:7" s="190" customFormat="1" x14ac:dyDescent="0.2">
      <c r="A18" s="240"/>
      <c r="B18" s="240"/>
      <c r="C18" s="240"/>
      <c r="D18" s="240"/>
      <c r="E18" s="240"/>
      <c r="F18" s="240"/>
      <c r="G18" s="240"/>
    </row>
    <row r="19" spans="1:7" s="190" customFormat="1" x14ac:dyDescent="0.2">
      <c r="A19" s="240"/>
      <c r="B19" s="240"/>
      <c r="C19" s="240"/>
      <c r="D19" s="240"/>
      <c r="E19" s="240"/>
      <c r="F19" s="240"/>
      <c r="G19" s="240"/>
    </row>
    <row r="20" spans="1:7" s="190" customFormat="1" ht="15.75" x14ac:dyDescent="0.25">
      <c r="A20" s="189" t="str">
        <f>+CONCATENATE("Ibrány, ",LEFT(ÖSSZEFÜGGÉSEK!A5,4),". január hó 15. nap")</f>
        <v>Ibrány, 2017. január hó 15. nap</v>
      </c>
      <c r="B20" s="240"/>
      <c r="C20" s="240"/>
      <c r="D20" s="240"/>
      <c r="E20" s="240"/>
      <c r="F20" s="240"/>
      <c r="G20" s="240"/>
    </row>
    <row r="21" spans="1:7" s="190" customFormat="1" x14ac:dyDescent="0.2">
      <c r="A21" s="240"/>
      <c r="B21" s="240"/>
      <c r="C21" s="240"/>
      <c r="D21" s="240"/>
      <c r="E21" s="240"/>
      <c r="F21" s="240"/>
      <c r="G21" s="240"/>
    </row>
    <row r="22" spans="1:7" x14ac:dyDescent="0.2">
      <c r="A22" s="240"/>
      <c r="B22" s="240"/>
      <c r="C22" s="240"/>
      <c r="D22" s="240"/>
      <c r="E22" s="240"/>
      <c r="F22" s="240"/>
      <c r="G22" s="240"/>
    </row>
    <row r="23" spans="1:7" x14ac:dyDescent="0.2">
      <c r="A23" s="240"/>
      <c r="B23" s="240"/>
      <c r="C23" s="190"/>
      <c r="D23" s="190"/>
      <c r="E23" s="190"/>
      <c r="F23" s="190"/>
      <c r="G23" s="240"/>
    </row>
    <row r="24" spans="1:7" ht="13.5" x14ac:dyDescent="0.25">
      <c r="A24" s="240"/>
      <c r="B24" s="240"/>
      <c r="C24" s="294"/>
      <c r="D24" s="295" t="s">
        <v>221</v>
      </c>
      <c r="E24" s="295"/>
      <c r="F24" s="294"/>
      <c r="G24" s="240"/>
    </row>
    <row r="25" spans="1:7" ht="13.5" x14ac:dyDescent="0.25">
      <c r="C25" s="196"/>
      <c r="D25" s="197"/>
      <c r="E25" s="197"/>
      <c r="F25" s="196"/>
    </row>
    <row r="26" spans="1:7" ht="13.5" x14ac:dyDescent="0.25">
      <c r="C26" s="196"/>
      <c r="D26" s="197"/>
      <c r="E26" s="197"/>
      <c r="F26" s="196"/>
    </row>
  </sheetData>
  <mergeCells count="3">
    <mergeCell ref="C3:G3"/>
    <mergeCell ref="C5:F5"/>
    <mergeCell ref="A1:G1"/>
  </mergeCells>
  <phoneticPr fontId="30" type="noConversion"/>
  <printOptions horizontalCentered="1"/>
  <pageMargins left="0.78740157480314965" right="0.78740157480314965" top="1.1417322834645669" bottom="0.98425196850393704" header="0.78740157480314965" footer="0.78740157480314965"/>
  <pageSetup paperSize="9" scale="95" orientation="portrait" r:id="rId1"/>
  <headerFooter alignWithMargins="0">
    <oddHeader>&amp;C&amp;"Times New Roman CE,Félkövér"&amp;12
&amp;R&amp;"Times New Roman CE,Félkövér dőlt"&amp;11 10. melléklet a 6/2017. (III. 13.) önkormányzati rendelethez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59"/>
  <sheetViews>
    <sheetView view="pageLayout" topLeftCell="A88" zoomScaleNormal="100" zoomScaleSheetLayoutView="100" workbookViewId="0">
      <selection activeCell="C93" sqref="C93:C154"/>
    </sheetView>
  </sheetViews>
  <sheetFormatPr defaultRowHeight="15.75" x14ac:dyDescent="0.25"/>
  <cols>
    <col min="1" max="1" width="9.5" style="424" customWidth="1"/>
    <col min="2" max="2" width="91.6640625" style="424" customWidth="1"/>
    <col min="3" max="3" width="21.6640625" style="425" customWidth="1"/>
    <col min="4" max="4" width="9" style="458" customWidth="1"/>
    <col min="5" max="16384" width="9.33203125" style="458"/>
  </cols>
  <sheetData>
    <row r="1" spans="1:3" ht="15.95" customHeight="1" x14ac:dyDescent="0.25">
      <c r="A1" s="670" t="s">
        <v>15</v>
      </c>
      <c r="B1" s="670"/>
      <c r="C1" s="670"/>
    </row>
    <row r="2" spans="1:3" ht="15.95" customHeight="1" thickBot="1" x14ac:dyDescent="0.3">
      <c r="A2" s="671" t="s">
        <v>153</v>
      </c>
      <c r="B2" s="671"/>
      <c r="C2" s="342" t="s">
        <v>579</v>
      </c>
    </row>
    <row r="3" spans="1:3" ht="38.1" customHeight="1" thickBot="1" x14ac:dyDescent="0.3">
      <c r="A3" s="23" t="s">
        <v>71</v>
      </c>
      <c r="B3" s="24" t="s">
        <v>17</v>
      </c>
      <c r="C3" s="44" t="str">
        <f>+CONCATENATE(LEFT(ÖSSZEFÜGGÉSEK!A5,4),". évi előirányzat")</f>
        <v>2017. évi előirányzat</v>
      </c>
    </row>
    <row r="4" spans="1:3" s="459" customFormat="1" ht="12" customHeight="1" thickBot="1" x14ac:dyDescent="0.25">
      <c r="A4" s="453"/>
      <c r="B4" s="454" t="s">
        <v>496</v>
      </c>
      <c r="C4" s="455" t="s">
        <v>497</v>
      </c>
    </row>
    <row r="5" spans="1:3" s="460" customFormat="1" ht="12" customHeight="1" thickBot="1" x14ac:dyDescent="0.25">
      <c r="A5" s="20" t="s">
        <v>18</v>
      </c>
      <c r="B5" s="21" t="s">
        <v>252</v>
      </c>
      <c r="C5" s="332">
        <f>+C6+C7+C8+C9+C10+C11</f>
        <v>0</v>
      </c>
    </row>
    <row r="6" spans="1:3" s="460" customFormat="1" ht="12" customHeight="1" x14ac:dyDescent="0.2">
      <c r="A6" s="15" t="s">
        <v>100</v>
      </c>
      <c r="B6" s="461" t="s">
        <v>253</v>
      </c>
      <c r="C6" s="335"/>
    </row>
    <row r="7" spans="1:3" s="460" customFormat="1" ht="12" customHeight="1" x14ac:dyDescent="0.2">
      <c r="A7" s="14" t="s">
        <v>101</v>
      </c>
      <c r="B7" s="462" t="s">
        <v>254</v>
      </c>
      <c r="C7" s="334"/>
    </row>
    <row r="8" spans="1:3" s="460" customFormat="1" ht="12" customHeight="1" x14ac:dyDescent="0.2">
      <c r="A8" s="14" t="s">
        <v>102</v>
      </c>
      <c r="B8" s="462" t="s">
        <v>554</v>
      </c>
      <c r="C8" s="334"/>
    </row>
    <row r="9" spans="1:3" s="460" customFormat="1" ht="12" customHeight="1" x14ac:dyDescent="0.2">
      <c r="A9" s="14" t="s">
        <v>103</v>
      </c>
      <c r="B9" s="462" t="s">
        <v>256</v>
      </c>
      <c r="C9" s="334"/>
    </row>
    <row r="10" spans="1:3" s="460" customFormat="1" ht="12" customHeight="1" x14ac:dyDescent="0.2">
      <c r="A10" s="14" t="s">
        <v>149</v>
      </c>
      <c r="B10" s="328" t="s">
        <v>436</v>
      </c>
      <c r="C10" s="334"/>
    </row>
    <row r="11" spans="1:3" s="460" customFormat="1" ht="12" customHeight="1" thickBot="1" x14ac:dyDescent="0.25">
      <c r="A11" s="16" t="s">
        <v>104</v>
      </c>
      <c r="B11" s="329" t="s">
        <v>437</v>
      </c>
      <c r="C11" s="334"/>
    </row>
    <row r="12" spans="1:3" s="460" customFormat="1" ht="12" customHeight="1" thickBot="1" x14ac:dyDescent="0.25">
      <c r="A12" s="20" t="s">
        <v>19</v>
      </c>
      <c r="B12" s="327" t="s">
        <v>257</v>
      </c>
      <c r="C12" s="332">
        <f>+C13+C14+C15+C16+C17</f>
        <v>0</v>
      </c>
    </row>
    <row r="13" spans="1:3" s="460" customFormat="1" ht="12" customHeight="1" x14ac:dyDescent="0.2">
      <c r="A13" s="15" t="s">
        <v>106</v>
      </c>
      <c r="B13" s="461" t="s">
        <v>258</v>
      </c>
      <c r="C13" s="335"/>
    </row>
    <row r="14" spans="1:3" s="460" customFormat="1" ht="12" customHeight="1" x14ac:dyDescent="0.2">
      <c r="A14" s="14" t="s">
        <v>107</v>
      </c>
      <c r="B14" s="462" t="s">
        <v>259</v>
      </c>
      <c r="C14" s="334"/>
    </row>
    <row r="15" spans="1:3" s="460" customFormat="1" ht="12" customHeight="1" x14ac:dyDescent="0.2">
      <c r="A15" s="14" t="s">
        <v>108</v>
      </c>
      <c r="B15" s="462" t="s">
        <v>426</v>
      </c>
      <c r="C15" s="334"/>
    </row>
    <row r="16" spans="1:3" s="460" customFormat="1" ht="12" customHeight="1" x14ac:dyDescent="0.2">
      <c r="A16" s="14" t="s">
        <v>109</v>
      </c>
      <c r="B16" s="462" t="s">
        <v>427</v>
      </c>
      <c r="C16" s="334"/>
    </row>
    <row r="17" spans="1:3" s="460" customFormat="1" ht="12" customHeight="1" x14ac:dyDescent="0.2">
      <c r="A17" s="14" t="s">
        <v>110</v>
      </c>
      <c r="B17" s="462" t="s">
        <v>260</v>
      </c>
      <c r="C17" s="334"/>
    </row>
    <row r="18" spans="1:3" s="460" customFormat="1" ht="12" customHeight="1" thickBot="1" x14ac:dyDescent="0.25">
      <c r="A18" s="16" t="s">
        <v>119</v>
      </c>
      <c r="B18" s="329" t="s">
        <v>261</v>
      </c>
      <c r="C18" s="336"/>
    </row>
    <row r="19" spans="1:3" s="460" customFormat="1" ht="12" customHeight="1" thickBot="1" x14ac:dyDescent="0.25">
      <c r="A19" s="20" t="s">
        <v>20</v>
      </c>
      <c r="B19" s="21" t="s">
        <v>262</v>
      </c>
      <c r="C19" s="332">
        <f>+C20+C21+C22+C23+C24</f>
        <v>0</v>
      </c>
    </row>
    <row r="20" spans="1:3" s="460" customFormat="1" ht="12" customHeight="1" x14ac:dyDescent="0.2">
      <c r="A20" s="15" t="s">
        <v>89</v>
      </c>
      <c r="B20" s="461" t="s">
        <v>263</v>
      </c>
      <c r="C20" s="335"/>
    </row>
    <row r="21" spans="1:3" s="460" customFormat="1" ht="12" customHeight="1" x14ac:dyDescent="0.2">
      <c r="A21" s="14" t="s">
        <v>90</v>
      </c>
      <c r="B21" s="462" t="s">
        <v>264</v>
      </c>
      <c r="C21" s="334"/>
    </row>
    <row r="22" spans="1:3" s="460" customFormat="1" ht="12" customHeight="1" x14ac:dyDescent="0.2">
      <c r="A22" s="14" t="s">
        <v>91</v>
      </c>
      <c r="B22" s="462" t="s">
        <v>428</v>
      </c>
      <c r="C22" s="334"/>
    </row>
    <row r="23" spans="1:3" s="460" customFormat="1" ht="12" customHeight="1" x14ac:dyDescent="0.2">
      <c r="A23" s="14" t="s">
        <v>92</v>
      </c>
      <c r="B23" s="462" t="s">
        <v>429</v>
      </c>
      <c r="C23" s="334"/>
    </row>
    <row r="24" spans="1:3" s="460" customFormat="1" ht="12" customHeight="1" x14ac:dyDescent="0.2">
      <c r="A24" s="14" t="s">
        <v>169</v>
      </c>
      <c r="B24" s="462" t="s">
        <v>265</v>
      </c>
      <c r="C24" s="334"/>
    </row>
    <row r="25" spans="1:3" s="460" customFormat="1" ht="12" customHeight="1" thickBot="1" x14ac:dyDescent="0.25">
      <c r="A25" s="16" t="s">
        <v>170</v>
      </c>
      <c r="B25" s="463" t="s">
        <v>266</v>
      </c>
      <c r="C25" s="336"/>
    </row>
    <row r="26" spans="1:3" s="460" customFormat="1" ht="12" customHeight="1" thickBot="1" x14ac:dyDescent="0.25">
      <c r="A26" s="20" t="s">
        <v>171</v>
      </c>
      <c r="B26" s="21" t="s">
        <v>555</v>
      </c>
      <c r="C26" s="338">
        <f>SUM(C27:C33)</f>
        <v>200000</v>
      </c>
    </row>
    <row r="27" spans="1:3" s="460" customFormat="1" ht="12" customHeight="1" x14ac:dyDescent="0.2">
      <c r="A27" s="15" t="s">
        <v>268</v>
      </c>
      <c r="B27" s="461" t="s">
        <v>559</v>
      </c>
      <c r="C27" s="335"/>
    </row>
    <row r="28" spans="1:3" s="460" customFormat="1" ht="12" customHeight="1" x14ac:dyDescent="0.2">
      <c r="A28" s="14" t="s">
        <v>269</v>
      </c>
      <c r="B28" s="462" t="s">
        <v>560</v>
      </c>
      <c r="C28" s="334"/>
    </row>
    <row r="29" spans="1:3" s="460" customFormat="1" ht="12" customHeight="1" x14ac:dyDescent="0.2">
      <c r="A29" s="14" t="s">
        <v>270</v>
      </c>
      <c r="B29" s="462" t="s">
        <v>561</v>
      </c>
      <c r="C29" s="334">
        <f>'9.1.2. sz. mell ÖNK'!C32</f>
        <v>200000</v>
      </c>
    </row>
    <row r="30" spans="1:3" s="460" customFormat="1" ht="12" customHeight="1" x14ac:dyDescent="0.2">
      <c r="A30" s="14" t="s">
        <v>271</v>
      </c>
      <c r="B30" s="462" t="s">
        <v>562</v>
      </c>
      <c r="C30" s="334"/>
    </row>
    <row r="31" spans="1:3" s="460" customFormat="1" ht="12" customHeight="1" x14ac:dyDescent="0.2">
      <c r="A31" s="14" t="s">
        <v>556</v>
      </c>
      <c r="B31" s="462" t="s">
        <v>272</v>
      </c>
      <c r="C31" s="334"/>
    </row>
    <row r="32" spans="1:3" s="460" customFormat="1" ht="12" customHeight="1" x14ac:dyDescent="0.2">
      <c r="A32" s="14" t="s">
        <v>557</v>
      </c>
      <c r="B32" s="462" t="s">
        <v>273</v>
      </c>
      <c r="C32" s="334"/>
    </row>
    <row r="33" spans="1:3" s="460" customFormat="1" ht="12" customHeight="1" thickBot="1" x14ac:dyDescent="0.25">
      <c r="A33" s="16" t="s">
        <v>558</v>
      </c>
      <c r="B33" s="566" t="s">
        <v>274</v>
      </c>
      <c r="C33" s="336"/>
    </row>
    <row r="34" spans="1:3" s="460" customFormat="1" ht="12" customHeight="1" thickBot="1" x14ac:dyDescent="0.25">
      <c r="A34" s="20" t="s">
        <v>22</v>
      </c>
      <c r="B34" s="21" t="s">
        <v>438</v>
      </c>
      <c r="C34" s="332">
        <f>SUM(C35:C45)</f>
        <v>11039999</v>
      </c>
    </row>
    <row r="35" spans="1:3" s="460" customFormat="1" ht="12" customHeight="1" x14ac:dyDescent="0.2">
      <c r="A35" s="15" t="s">
        <v>93</v>
      </c>
      <c r="B35" s="461" t="s">
        <v>277</v>
      </c>
      <c r="C35" s="335">
        <f>'9.3.2. sz. mell GAM'!C9+'9.4.2. sz. mell ILMKS'!C9</f>
        <v>7799213</v>
      </c>
    </row>
    <row r="36" spans="1:3" s="460" customFormat="1" ht="12" customHeight="1" x14ac:dyDescent="0.2">
      <c r="A36" s="14" t="s">
        <v>94</v>
      </c>
      <c r="B36" s="462" t="s">
        <v>278</v>
      </c>
      <c r="C36" s="335">
        <f>'9.3.2. sz. mell GAM'!C10+'9.4.2. sz. mell ILMKS'!C10</f>
        <v>0</v>
      </c>
    </row>
    <row r="37" spans="1:3" s="460" customFormat="1" ht="12" customHeight="1" x14ac:dyDescent="0.2">
      <c r="A37" s="14" t="s">
        <v>95</v>
      </c>
      <c r="B37" s="462" t="s">
        <v>279</v>
      </c>
      <c r="C37" s="335">
        <f>'9.3.2. sz. mell GAM'!C11+'9.4.2. sz. mell ILMKS'!C11</f>
        <v>0</v>
      </c>
    </row>
    <row r="38" spans="1:3" s="460" customFormat="1" ht="12" customHeight="1" x14ac:dyDescent="0.2">
      <c r="A38" s="14" t="s">
        <v>173</v>
      </c>
      <c r="B38" s="462" t="s">
        <v>280</v>
      </c>
      <c r="C38" s="335">
        <f>'9.3.2. sz. mell GAM'!C12+'9.4.2. sz. mell ILMKS'!C12</f>
        <v>0</v>
      </c>
    </row>
    <row r="39" spans="1:3" s="460" customFormat="1" ht="12" customHeight="1" x14ac:dyDescent="0.2">
      <c r="A39" s="14" t="s">
        <v>174</v>
      </c>
      <c r="B39" s="462" t="s">
        <v>281</v>
      </c>
      <c r="C39" s="335">
        <f>'9.3.2. sz. mell GAM'!C13+'9.4.2. sz. mell ILMKS'!C13</f>
        <v>1000000</v>
      </c>
    </row>
    <row r="40" spans="1:3" s="460" customFormat="1" ht="12" customHeight="1" x14ac:dyDescent="0.2">
      <c r="A40" s="14" t="s">
        <v>175</v>
      </c>
      <c r="B40" s="462" t="s">
        <v>282</v>
      </c>
      <c r="C40" s="335">
        <f>'9.3.2. sz. mell GAM'!C14+'9.4.2. sz. mell ILMKS'!C14</f>
        <v>2240786</v>
      </c>
    </row>
    <row r="41" spans="1:3" s="460" customFormat="1" ht="12" customHeight="1" x14ac:dyDescent="0.2">
      <c r="A41" s="14" t="s">
        <v>176</v>
      </c>
      <c r="B41" s="462" t="s">
        <v>283</v>
      </c>
      <c r="C41" s="334"/>
    </row>
    <row r="42" spans="1:3" s="460" customFormat="1" ht="12" customHeight="1" x14ac:dyDescent="0.2">
      <c r="A42" s="14" t="s">
        <v>177</v>
      </c>
      <c r="B42" s="462" t="s">
        <v>563</v>
      </c>
      <c r="C42" s="334"/>
    </row>
    <row r="43" spans="1:3" s="460" customFormat="1" ht="12" customHeight="1" x14ac:dyDescent="0.2">
      <c r="A43" s="14" t="s">
        <v>275</v>
      </c>
      <c r="B43" s="462" t="s">
        <v>285</v>
      </c>
      <c r="C43" s="337"/>
    </row>
    <row r="44" spans="1:3" s="460" customFormat="1" ht="12" customHeight="1" x14ac:dyDescent="0.2">
      <c r="A44" s="16" t="s">
        <v>276</v>
      </c>
      <c r="B44" s="463" t="s">
        <v>440</v>
      </c>
      <c r="C44" s="447"/>
    </row>
    <row r="45" spans="1:3" s="460" customFormat="1" ht="12" customHeight="1" thickBot="1" x14ac:dyDescent="0.25">
      <c r="A45" s="16" t="s">
        <v>439</v>
      </c>
      <c r="B45" s="329" t="s">
        <v>286</v>
      </c>
      <c r="C45" s="447"/>
    </row>
    <row r="46" spans="1:3" s="460" customFormat="1" ht="12" customHeight="1" thickBot="1" x14ac:dyDescent="0.25">
      <c r="A46" s="20" t="s">
        <v>23</v>
      </c>
      <c r="B46" s="21" t="s">
        <v>287</v>
      </c>
      <c r="C46" s="332">
        <f>SUM(C47:C51)</f>
        <v>0</v>
      </c>
    </row>
    <row r="47" spans="1:3" s="460" customFormat="1" ht="12" customHeight="1" x14ac:dyDescent="0.2">
      <c r="A47" s="15" t="s">
        <v>96</v>
      </c>
      <c r="B47" s="461" t="s">
        <v>291</v>
      </c>
      <c r="C47" s="506"/>
    </row>
    <row r="48" spans="1:3" s="460" customFormat="1" ht="12" customHeight="1" x14ac:dyDescent="0.2">
      <c r="A48" s="14" t="s">
        <v>97</v>
      </c>
      <c r="B48" s="462" t="s">
        <v>292</v>
      </c>
      <c r="C48" s="337"/>
    </row>
    <row r="49" spans="1:3" s="460" customFormat="1" ht="12" customHeight="1" x14ac:dyDescent="0.2">
      <c r="A49" s="14" t="s">
        <v>288</v>
      </c>
      <c r="B49" s="462" t="s">
        <v>293</v>
      </c>
      <c r="C49" s="337"/>
    </row>
    <row r="50" spans="1:3" s="460" customFormat="1" ht="12" customHeight="1" x14ac:dyDescent="0.2">
      <c r="A50" s="14" t="s">
        <v>289</v>
      </c>
      <c r="B50" s="462" t="s">
        <v>294</v>
      </c>
      <c r="C50" s="337"/>
    </row>
    <row r="51" spans="1:3" s="460" customFormat="1" ht="12" customHeight="1" thickBot="1" x14ac:dyDescent="0.25">
      <c r="A51" s="16" t="s">
        <v>290</v>
      </c>
      <c r="B51" s="329" t="s">
        <v>295</v>
      </c>
      <c r="C51" s="447"/>
    </row>
    <row r="52" spans="1:3" s="460" customFormat="1" ht="12" customHeight="1" thickBot="1" x14ac:dyDescent="0.25">
      <c r="A52" s="20" t="s">
        <v>178</v>
      </c>
      <c r="B52" s="21" t="s">
        <v>296</v>
      </c>
      <c r="C52" s="332">
        <f>SUM(C53:C55)</f>
        <v>0</v>
      </c>
    </row>
    <row r="53" spans="1:3" s="460" customFormat="1" ht="12" customHeight="1" x14ac:dyDescent="0.2">
      <c r="A53" s="15" t="s">
        <v>98</v>
      </c>
      <c r="B53" s="461" t="s">
        <v>297</v>
      </c>
      <c r="C53" s="335"/>
    </row>
    <row r="54" spans="1:3" s="460" customFormat="1" ht="12" customHeight="1" x14ac:dyDescent="0.2">
      <c r="A54" s="14" t="s">
        <v>99</v>
      </c>
      <c r="B54" s="462" t="s">
        <v>430</v>
      </c>
      <c r="C54" s="334"/>
    </row>
    <row r="55" spans="1:3" s="460" customFormat="1" ht="12" customHeight="1" x14ac:dyDescent="0.2">
      <c r="A55" s="14" t="s">
        <v>300</v>
      </c>
      <c r="B55" s="462" t="s">
        <v>298</v>
      </c>
      <c r="C55" s="334"/>
    </row>
    <row r="56" spans="1:3" s="460" customFormat="1" ht="12" customHeight="1" thickBot="1" x14ac:dyDescent="0.25">
      <c r="A56" s="16" t="s">
        <v>301</v>
      </c>
      <c r="B56" s="329" t="s">
        <v>299</v>
      </c>
      <c r="C56" s="336"/>
    </row>
    <row r="57" spans="1:3" s="460" customFormat="1" ht="12" customHeight="1" thickBot="1" x14ac:dyDescent="0.25">
      <c r="A57" s="20" t="s">
        <v>25</v>
      </c>
      <c r="B57" s="327" t="s">
        <v>302</v>
      </c>
      <c r="C57" s="332">
        <f>SUM(C58:C60)</f>
        <v>0</v>
      </c>
    </row>
    <row r="58" spans="1:3" s="460" customFormat="1" ht="12" customHeight="1" x14ac:dyDescent="0.2">
      <c r="A58" s="15" t="s">
        <v>179</v>
      </c>
      <c r="B58" s="461" t="s">
        <v>304</v>
      </c>
      <c r="C58" s="337"/>
    </row>
    <row r="59" spans="1:3" s="460" customFormat="1" ht="12" customHeight="1" x14ac:dyDescent="0.2">
      <c r="A59" s="14" t="s">
        <v>180</v>
      </c>
      <c r="B59" s="462" t="s">
        <v>431</v>
      </c>
      <c r="C59" s="337"/>
    </row>
    <row r="60" spans="1:3" s="460" customFormat="1" ht="12" customHeight="1" x14ac:dyDescent="0.2">
      <c r="A60" s="14" t="s">
        <v>228</v>
      </c>
      <c r="B60" s="462" t="s">
        <v>305</v>
      </c>
      <c r="C60" s="337"/>
    </row>
    <row r="61" spans="1:3" s="460" customFormat="1" ht="12" customHeight="1" thickBot="1" x14ac:dyDescent="0.25">
      <c r="A61" s="16" t="s">
        <v>303</v>
      </c>
      <c r="B61" s="329" t="s">
        <v>306</v>
      </c>
      <c r="C61" s="337"/>
    </row>
    <row r="62" spans="1:3" s="460" customFormat="1" ht="12" customHeight="1" thickBot="1" x14ac:dyDescent="0.25">
      <c r="A62" s="538" t="s">
        <v>480</v>
      </c>
      <c r="B62" s="21" t="s">
        <v>307</v>
      </c>
      <c r="C62" s="338">
        <f>+C5+C12+C19+C26+C34+C46+C52+C57</f>
        <v>11239999</v>
      </c>
    </row>
    <row r="63" spans="1:3" s="460" customFormat="1" ht="12" customHeight="1" thickBot="1" x14ac:dyDescent="0.25">
      <c r="A63" s="509" t="s">
        <v>308</v>
      </c>
      <c r="B63" s="327" t="s">
        <v>309</v>
      </c>
      <c r="C63" s="332">
        <f>SUM(C64:C66)</f>
        <v>0</v>
      </c>
    </row>
    <row r="64" spans="1:3" s="460" customFormat="1" ht="12" customHeight="1" x14ac:dyDescent="0.2">
      <c r="A64" s="15" t="s">
        <v>340</v>
      </c>
      <c r="B64" s="461" t="s">
        <v>310</v>
      </c>
      <c r="C64" s="337"/>
    </row>
    <row r="65" spans="1:3" s="460" customFormat="1" ht="12" customHeight="1" x14ac:dyDescent="0.2">
      <c r="A65" s="14" t="s">
        <v>349</v>
      </c>
      <c r="B65" s="462" t="s">
        <v>311</v>
      </c>
      <c r="C65" s="337"/>
    </row>
    <row r="66" spans="1:3" s="460" customFormat="1" ht="12" customHeight="1" thickBot="1" x14ac:dyDescent="0.25">
      <c r="A66" s="16" t="s">
        <v>350</v>
      </c>
      <c r="B66" s="532" t="s">
        <v>465</v>
      </c>
      <c r="C66" s="337"/>
    </row>
    <row r="67" spans="1:3" s="460" customFormat="1" ht="12" customHeight="1" thickBot="1" x14ac:dyDescent="0.25">
      <c r="A67" s="509" t="s">
        <v>313</v>
      </c>
      <c r="B67" s="327" t="s">
        <v>314</v>
      </c>
      <c r="C67" s="332">
        <f>SUM(C68:C71)</f>
        <v>0</v>
      </c>
    </row>
    <row r="68" spans="1:3" s="460" customFormat="1" ht="12" customHeight="1" x14ac:dyDescent="0.2">
      <c r="A68" s="15" t="s">
        <v>150</v>
      </c>
      <c r="B68" s="461" t="s">
        <v>315</v>
      </c>
      <c r="C68" s="337"/>
    </row>
    <row r="69" spans="1:3" s="460" customFormat="1" ht="12" customHeight="1" x14ac:dyDescent="0.2">
      <c r="A69" s="14" t="s">
        <v>151</v>
      </c>
      <c r="B69" s="462" t="s">
        <v>316</v>
      </c>
      <c r="C69" s="337"/>
    </row>
    <row r="70" spans="1:3" s="460" customFormat="1" ht="12" customHeight="1" x14ac:dyDescent="0.2">
      <c r="A70" s="14" t="s">
        <v>341</v>
      </c>
      <c r="B70" s="462" t="s">
        <v>317</v>
      </c>
      <c r="C70" s="337"/>
    </row>
    <row r="71" spans="1:3" s="460" customFormat="1" ht="12" customHeight="1" thickBot="1" x14ac:dyDescent="0.25">
      <c r="A71" s="16" t="s">
        <v>342</v>
      </c>
      <c r="B71" s="329" t="s">
        <v>318</v>
      </c>
      <c r="C71" s="337"/>
    </row>
    <row r="72" spans="1:3" s="460" customFormat="1" ht="12" customHeight="1" thickBot="1" x14ac:dyDescent="0.25">
      <c r="A72" s="509" t="s">
        <v>319</v>
      </c>
      <c r="B72" s="327" t="s">
        <v>320</v>
      </c>
      <c r="C72" s="332">
        <f>SUM(C73:C74)</f>
        <v>0</v>
      </c>
    </row>
    <row r="73" spans="1:3" s="460" customFormat="1" ht="12" customHeight="1" x14ac:dyDescent="0.2">
      <c r="A73" s="15" t="s">
        <v>343</v>
      </c>
      <c r="B73" s="461" t="s">
        <v>321</v>
      </c>
      <c r="C73" s="337"/>
    </row>
    <row r="74" spans="1:3" s="460" customFormat="1" ht="12" customHeight="1" thickBot="1" x14ac:dyDescent="0.25">
      <c r="A74" s="16" t="s">
        <v>344</v>
      </c>
      <c r="B74" s="329" t="s">
        <v>322</v>
      </c>
      <c r="C74" s="337"/>
    </row>
    <row r="75" spans="1:3" s="460" customFormat="1" ht="12" customHeight="1" thickBot="1" x14ac:dyDescent="0.25">
      <c r="A75" s="509" t="s">
        <v>323</v>
      </c>
      <c r="B75" s="327" t="s">
        <v>324</v>
      </c>
      <c r="C75" s="332">
        <f>SUM(C76:C78)</f>
        <v>0</v>
      </c>
    </row>
    <row r="76" spans="1:3" s="460" customFormat="1" ht="12" customHeight="1" x14ac:dyDescent="0.2">
      <c r="A76" s="15" t="s">
        <v>345</v>
      </c>
      <c r="B76" s="461" t="s">
        <v>325</v>
      </c>
      <c r="C76" s="337"/>
    </row>
    <row r="77" spans="1:3" s="460" customFormat="1" ht="12" customHeight="1" x14ac:dyDescent="0.2">
      <c r="A77" s="14" t="s">
        <v>346</v>
      </c>
      <c r="B77" s="462" t="s">
        <v>326</v>
      </c>
      <c r="C77" s="337"/>
    </row>
    <row r="78" spans="1:3" s="460" customFormat="1" ht="12" customHeight="1" thickBot="1" x14ac:dyDescent="0.25">
      <c r="A78" s="16" t="s">
        <v>347</v>
      </c>
      <c r="B78" s="329" t="s">
        <v>327</v>
      </c>
      <c r="C78" s="337"/>
    </row>
    <row r="79" spans="1:3" s="460" customFormat="1" ht="12" customHeight="1" thickBot="1" x14ac:dyDescent="0.25">
      <c r="A79" s="509" t="s">
        <v>328</v>
      </c>
      <c r="B79" s="327" t="s">
        <v>348</v>
      </c>
      <c r="C79" s="332">
        <f>SUM(C80:C83)</f>
        <v>0</v>
      </c>
    </row>
    <row r="80" spans="1:3" s="460" customFormat="1" ht="12" customHeight="1" x14ac:dyDescent="0.2">
      <c r="A80" s="465" t="s">
        <v>329</v>
      </c>
      <c r="B80" s="461" t="s">
        <v>330</v>
      </c>
      <c r="C80" s="337"/>
    </row>
    <row r="81" spans="1:3" s="460" customFormat="1" ht="12" customHeight="1" x14ac:dyDescent="0.2">
      <c r="A81" s="466" t="s">
        <v>331</v>
      </c>
      <c r="B81" s="462" t="s">
        <v>332</v>
      </c>
      <c r="C81" s="337"/>
    </row>
    <row r="82" spans="1:3" s="460" customFormat="1" ht="12" customHeight="1" x14ac:dyDescent="0.2">
      <c r="A82" s="466" t="s">
        <v>333</v>
      </c>
      <c r="B82" s="462" t="s">
        <v>334</v>
      </c>
      <c r="C82" s="337"/>
    </row>
    <row r="83" spans="1:3" s="460" customFormat="1" ht="12" customHeight="1" thickBot="1" x14ac:dyDescent="0.25">
      <c r="A83" s="467" t="s">
        <v>335</v>
      </c>
      <c r="B83" s="329" t="s">
        <v>336</v>
      </c>
      <c r="C83" s="337"/>
    </row>
    <row r="84" spans="1:3" s="460" customFormat="1" ht="12" customHeight="1" thickBot="1" x14ac:dyDescent="0.25">
      <c r="A84" s="509" t="s">
        <v>337</v>
      </c>
      <c r="B84" s="327" t="s">
        <v>479</v>
      </c>
      <c r="C84" s="507"/>
    </row>
    <row r="85" spans="1:3" s="460" customFormat="1" ht="13.5" customHeight="1" thickBot="1" x14ac:dyDescent="0.25">
      <c r="A85" s="509" t="s">
        <v>339</v>
      </c>
      <c r="B85" s="327" t="s">
        <v>338</v>
      </c>
      <c r="C85" s="507"/>
    </row>
    <row r="86" spans="1:3" s="460" customFormat="1" ht="15.75" customHeight="1" thickBot="1" x14ac:dyDescent="0.25">
      <c r="A86" s="509" t="s">
        <v>351</v>
      </c>
      <c r="B86" s="468" t="s">
        <v>482</v>
      </c>
      <c r="C86" s="338">
        <f>+C63+C67+C72+C75+C79+C85+C84</f>
        <v>0</v>
      </c>
    </row>
    <row r="87" spans="1:3" s="460" customFormat="1" ht="16.5" customHeight="1" thickBot="1" x14ac:dyDescent="0.25">
      <c r="A87" s="510" t="s">
        <v>481</v>
      </c>
      <c r="B87" s="469" t="s">
        <v>483</v>
      </c>
      <c r="C87" s="338">
        <f>+C62+C86</f>
        <v>11239999</v>
      </c>
    </row>
    <row r="88" spans="1:3" s="460" customFormat="1" ht="34.5" customHeight="1" x14ac:dyDescent="0.2">
      <c r="A88" s="5"/>
      <c r="B88" s="6"/>
      <c r="C88" s="339"/>
    </row>
    <row r="89" spans="1:3" ht="16.5" customHeight="1" x14ac:dyDescent="0.25">
      <c r="A89" s="670" t="s">
        <v>47</v>
      </c>
      <c r="B89" s="670"/>
      <c r="C89" s="670"/>
    </row>
    <row r="90" spans="1:3" s="470" customFormat="1" ht="16.5" customHeight="1" thickBot="1" x14ac:dyDescent="0.3">
      <c r="A90" s="672" t="s">
        <v>154</v>
      </c>
      <c r="B90" s="672"/>
      <c r="C90" s="164" t="s">
        <v>579</v>
      </c>
    </row>
    <row r="91" spans="1:3" ht="38.1" customHeight="1" thickBot="1" x14ac:dyDescent="0.3">
      <c r="A91" s="23" t="s">
        <v>71</v>
      </c>
      <c r="B91" s="24" t="s">
        <v>48</v>
      </c>
      <c r="C91" s="44" t="str">
        <f>+C3</f>
        <v>2017. évi előirányzat</v>
      </c>
    </row>
    <row r="92" spans="1:3" s="459" customFormat="1" ht="12" customHeight="1" thickBot="1" x14ac:dyDescent="0.25">
      <c r="A92" s="36"/>
      <c r="B92" s="37" t="s">
        <v>496</v>
      </c>
      <c r="C92" s="38" t="s">
        <v>497</v>
      </c>
    </row>
    <row r="93" spans="1:3" ht="12" customHeight="1" thickBot="1" x14ac:dyDescent="0.3">
      <c r="A93" s="22" t="s">
        <v>18</v>
      </c>
      <c r="B93" s="31" t="s">
        <v>441</v>
      </c>
      <c r="C93" s="331">
        <f>C94+C95+C96+C97+C98+C111</f>
        <v>45135273</v>
      </c>
    </row>
    <row r="94" spans="1:3" ht="12" customHeight="1" x14ac:dyDescent="0.25">
      <c r="A94" s="17" t="s">
        <v>100</v>
      </c>
      <c r="B94" s="10" t="s">
        <v>49</v>
      </c>
      <c r="C94" s="333">
        <f>'9.1.2. sz. mell ÖNK'!C94+'9.3.2. sz. mell GAM'!C46+'9.4.2. sz. mell ILMKS'!C46</f>
        <v>14914550</v>
      </c>
    </row>
    <row r="95" spans="1:3" ht="12" customHeight="1" x14ac:dyDescent="0.25">
      <c r="A95" s="14" t="s">
        <v>101</v>
      </c>
      <c r="B95" s="8" t="s">
        <v>181</v>
      </c>
      <c r="C95" s="334">
        <f>'9.1.2. sz. mell ÖNK'!C95+'9.3.2. sz. mell GAM'!C47+'9.4.2. sz. mell ILMKS'!C47</f>
        <v>3430521</v>
      </c>
    </row>
    <row r="96" spans="1:3" ht="12" customHeight="1" x14ac:dyDescent="0.25">
      <c r="A96" s="14" t="s">
        <v>102</v>
      </c>
      <c r="B96" s="8" t="s">
        <v>142</v>
      </c>
      <c r="C96" s="334">
        <f>'9.1.2. sz. mell ÖNK'!C96+'9.3.2. sz. mell GAM'!C48+'9.4.2. sz. mell ILMKS'!C48</f>
        <v>26509859</v>
      </c>
    </row>
    <row r="97" spans="1:3" ht="12" customHeight="1" x14ac:dyDescent="0.25">
      <c r="A97" s="14" t="s">
        <v>103</v>
      </c>
      <c r="B97" s="11" t="s">
        <v>182</v>
      </c>
      <c r="C97" s="334">
        <f>'9.1.2. sz. mell ÖNK'!C97+'9.3.2. sz. mell GAM'!C49+'9.4.2. sz. mell ILMKS'!C49</f>
        <v>200000</v>
      </c>
    </row>
    <row r="98" spans="1:3" ht="12" customHeight="1" x14ac:dyDescent="0.25">
      <c r="A98" s="14" t="s">
        <v>114</v>
      </c>
      <c r="B98" s="19" t="s">
        <v>183</v>
      </c>
      <c r="C98" s="335">
        <f>'9.1.2. sz. mell ÖNK'!C98+'9.3.2. sz. mell GAM'!C50+'9.4.2. sz. mell ILMKS'!C50</f>
        <v>80343</v>
      </c>
    </row>
    <row r="99" spans="1:3" ht="12" customHeight="1" x14ac:dyDescent="0.25">
      <c r="A99" s="14" t="s">
        <v>104</v>
      </c>
      <c r="B99" s="8" t="s">
        <v>446</v>
      </c>
      <c r="C99" s="336"/>
    </row>
    <row r="100" spans="1:3" ht="12" customHeight="1" x14ac:dyDescent="0.25">
      <c r="A100" s="14" t="s">
        <v>105</v>
      </c>
      <c r="B100" s="169" t="s">
        <v>445</v>
      </c>
      <c r="C100" s="336"/>
    </row>
    <row r="101" spans="1:3" ht="12" customHeight="1" x14ac:dyDescent="0.25">
      <c r="A101" s="14" t="s">
        <v>115</v>
      </c>
      <c r="B101" s="169" t="s">
        <v>444</v>
      </c>
      <c r="C101" s="336"/>
    </row>
    <row r="102" spans="1:3" ht="12" customHeight="1" x14ac:dyDescent="0.25">
      <c r="A102" s="14" t="s">
        <v>116</v>
      </c>
      <c r="B102" s="167" t="s">
        <v>354</v>
      </c>
      <c r="C102" s="336"/>
    </row>
    <row r="103" spans="1:3" ht="12" customHeight="1" x14ac:dyDescent="0.25">
      <c r="A103" s="14" t="s">
        <v>117</v>
      </c>
      <c r="B103" s="168" t="s">
        <v>355</v>
      </c>
      <c r="C103" s="336"/>
    </row>
    <row r="104" spans="1:3" ht="12" customHeight="1" x14ac:dyDescent="0.25">
      <c r="A104" s="14" t="s">
        <v>118</v>
      </c>
      <c r="B104" s="168" t="s">
        <v>356</v>
      </c>
      <c r="C104" s="336"/>
    </row>
    <row r="105" spans="1:3" ht="12" customHeight="1" x14ac:dyDescent="0.25">
      <c r="A105" s="14" t="s">
        <v>120</v>
      </c>
      <c r="B105" s="167" t="s">
        <v>357</v>
      </c>
      <c r="C105" s="336"/>
    </row>
    <row r="106" spans="1:3" ht="12" customHeight="1" x14ac:dyDescent="0.25">
      <c r="A106" s="14" t="s">
        <v>184</v>
      </c>
      <c r="B106" s="167" t="s">
        <v>358</v>
      </c>
      <c r="C106" s="336"/>
    </row>
    <row r="107" spans="1:3" ht="12" customHeight="1" x14ac:dyDescent="0.25">
      <c r="A107" s="14" t="s">
        <v>352</v>
      </c>
      <c r="B107" s="168" t="s">
        <v>359</v>
      </c>
      <c r="C107" s="336"/>
    </row>
    <row r="108" spans="1:3" ht="12" customHeight="1" x14ac:dyDescent="0.25">
      <c r="A108" s="13" t="s">
        <v>353</v>
      </c>
      <c r="B108" s="169" t="s">
        <v>360</v>
      </c>
      <c r="C108" s="336"/>
    </row>
    <row r="109" spans="1:3" ht="12" customHeight="1" x14ac:dyDescent="0.25">
      <c r="A109" s="14" t="s">
        <v>442</v>
      </c>
      <c r="B109" s="169" t="s">
        <v>361</v>
      </c>
      <c r="C109" s="336"/>
    </row>
    <row r="110" spans="1:3" ht="12" customHeight="1" x14ac:dyDescent="0.25">
      <c r="A110" s="16" t="s">
        <v>443</v>
      </c>
      <c r="B110" s="169" t="s">
        <v>362</v>
      </c>
      <c r="C110" s="336">
        <f>'9.1.2. sz. mell ÖNK'!C110</f>
        <v>0</v>
      </c>
    </row>
    <row r="111" spans="1:3" ht="12" customHeight="1" x14ac:dyDescent="0.25">
      <c r="A111" s="14" t="s">
        <v>447</v>
      </c>
      <c r="B111" s="11" t="s">
        <v>50</v>
      </c>
      <c r="C111" s="334"/>
    </row>
    <row r="112" spans="1:3" ht="12" customHeight="1" x14ac:dyDescent="0.25">
      <c r="A112" s="14" t="s">
        <v>448</v>
      </c>
      <c r="B112" s="8" t="s">
        <v>450</v>
      </c>
      <c r="C112" s="334"/>
    </row>
    <row r="113" spans="1:3" ht="12" customHeight="1" thickBot="1" x14ac:dyDescent="0.3">
      <c r="A113" s="18" t="s">
        <v>449</v>
      </c>
      <c r="B113" s="536" t="s">
        <v>451</v>
      </c>
      <c r="C113" s="340"/>
    </row>
    <row r="114" spans="1:3" ht="12" customHeight="1" thickBot="1" x14ac:dyDescent="0.3">
      <c r="A114" s="533" t="s">
        <v>19</v>
      </c>
      <c r="B114" s="534" t="s">
        <v>363</v>
      </c>
      <c r="C114" s="535">
        <f>+C115+C117+C119</f>
        <v>0</v>
      </c>
    </row>
    <row r="115" spans="1:3" ht="12" customHeight="1" x14ac:dyDescent="0.25">
      <c r="A115" s="15" t="s">
        <v>106</v>
      </c>
      <c r="B115" s="8" t="s">
        <v>226</v>
      </c>
      <c r="C115" s="335"/>
    </row>
    <row r="116" spans="1:3" ht="12" customHeight="1" x14ac:dyDescent="0.25">
      <c r="A116" s="15" t="s">
        <v>107</v>
      </c>
      <c r="B116" s="12" t="s">
        <v>367</v>
      </c>
      <c r="C116" s="335"/>
    </row>
    <row r="117" spans="1:3" ht="12" customHeight="1" x14ac:dyDescent="0.25">
      <c r="A117" s="15" t="s">
        <v>108</v>
      </c>
      <c r="B117" s="12" t="s">
        <v>185</v>
      </c>
      <c r="C117" s="334"/>
    </row>
    <row r="118" spans="1:3" ht="12" customHeight="1" x14ac:dyDescent="0.25">
      <c r="A118" s="15" t="s">
        <v>109</v>
      </c>
      <c r="B118" s="12" t="s">
        <v>368</v>
      </c>
      <c r="C118" s="299"/>
    </row>
    <row r="119" spans="1:3" ht="12" customHeight="1" x14ac:dyDescent="0.25">
      <c r="A119" s="15" t="s">
        <v>110</v>
      </c>
      <c r="B119" s="329" t="s">
        <v>229</v>
      </c>
      <c r="C119" s="299"/>
    </row>
    <row r="120" spans="1:3" ht="12" customHeight="1" x14ac:dyDescent="0.25">
      <c r="A120" s="15" t="s">
        <v>119</v>
      </c>
      <c r="B120" s="328" t="s">
        <v>432</v>
      </c>
      <c r="C120" s="299"/>
    </row>
    <row r="121" spans="1:3" ht="12" customHeight="1" x14ac:dyDescent="0.25">
      <c r="A121" s="15" t="s">
        <v>121</v>
      </c>
      <c r="B121" s="457" t="s">
        <v>373</v>
      </c>
      <c r="C121" s="299"/>
    </row>
    <row r="122" spans="1:3" x14ac:dyDescent="0.25">
      <c r="A122" s="15" t="s">
        <v>186</v>
      </c>
      <c r="B122" s="168" t="s">
        <v>356</v>
      </c>
      <c r="C122" s="299"/>
    </row>
    <row r="123" spans="1:3" ht="12" customHeight="1" x14ac:dyDescent="0.25">
      <c r="A123" s="15" t="s">
        <v>187</v>
      </c>
      <c r="B123" s="168" t="s">
        <v>372</v>
      </c>
      <c r="C123" s="299"/>
    </row>
    <row r="124" spans="1:3" ht="12" customHeight="1" x14ac:dyDescent="0.25">
      <c r="A124" s="15" t="s">
        <v>188</v>
      </c>
      <c r="B124" s="168" t="s">
        <v>371</v>
      </c>
      <c r="C124" s="299"/>
    </row>
    <row r="125" spans="1:3" ht="12" customHeight="1" x14ac:dyDescent="0.25">
      <c r="A125" s="15" t="s">
        <v>364</v>
      </c>
      <c r="B125" s="168" t="s">
        <v>359</v>
      </c>
      <c r="C125" s="299"/>
    </row>
    <row r="126" spans="1:3" ht="12" customHeight="1" x14ac:dyDescent="0.25">
      <c r="A126" s="15" t="s">
        <v>365</v>
      </c>
      <c r="B126" s="168" t="s">
        <v>370</v>
      </c>
      <c r="C126" s="299"/>
    </row>
    <row r="127" spans="1:3" ht="16.5" thickBot="1" x14ac:dyDescent="0.3">
      <c r="A127" s="13" t="s">
        <v>366</v>
      </c>
      <c r="B127" s="168" t="s">
        <v>369</v>
      </c>
      <c r="C127" s="301"/>
    </row>
    <row r="128" spans="1:3" ht="12" customHeight="1" thickBot="1" x14ac:dyDescent="0.3">
      <c r="A128" s="20" t="s">
        <v>20</v>
      </c>
      <c r="B128" s="150" t="s">
        <v>452</v>
      </c>
      <c r="C128" s="332">
        <f>+C93+C114</f>
        <v>45135273</v>
      </c>
    </row>
    <row r="129" spans="1:3" ht="12" customHeight="1" thickBot="1" x14ac:dyDescent="0.3">
      <c r="A129" s="20" t="s">
        <v>21</v>
      </c>
      <c r="B129" s="150" t="s">
        <v>453</v>
      </c>
      <c r="C129" s="332">
        <f>+C130+C131+C132</f>
        <v>0</v>
      </c>
    </row>
    <row r="130" spans="1:3" ht="12" customHeight="1" x14ac:dyDescent="0.25">
      <c r="A130" s="15" t="s">
        <v>268</v>
      </c>
      <c r="B130" s="12" t="s">
        <v>460</v>
      </c>
      <c r="C130" s="299"/>
    </row>
    <row r="131" spans="1:3" ht="12" customHeight="1" x14ac:dyDescent="0.25">
      <c r="A131" s="15" t="s">
        <v>269</v>
      </c>
      <c r="B131" s="12" t="s">
        <v>461</v>
      </c>
      <c r="C131" s="299"/>
    </row>
    <row r="132" spans="1:3" ht="12" customHeight="1" thickBot="1" x14ac:dyDescent="0.3">
      <c r="A132" s="13" t="s">
        <v>270</v>
      </c>
      <c r="B132" s="12" t="s">
        <v>462</v>
      </c>
      <c r="C132" s="299"/>
    </row>
    <row r="133" spans="1:3" ht="12" customHeight="1" thickBot="1" x14ac:dyDescent="0.3">
      <c r="A133" s="20" t="s">
        <v>22</v>
      </c>
      <c r="B133" s="150" t="s">
        <v>454</v>
      </c>
      <c r="C133" s="332">
        <f>SUM(C134:C139)</f>
        <v>0</v>
      </c>
    </row>
    <row r="134" spans="1:3" ht="12" customHeight="1" x14ac:dyDescent="0.25">
      <c r="A134" s="15" t="s">
        <v>93</v>
      </c>
      <c r="B134" s="9" t="s">
        <v>463</v>
      </c>
      <c r="C134" s="299"/>
    </row>
    <row r="135" spans="1:3" ht="12" customHeight="1" x14ac:dyDescent="0.25">
      <c r="A135" s="15" t="s">
        <v>94</v>
      </c>
      <c r="B135" s="9" t="s">
        <v>455</v>
      </c>
      <c r="C135" s="299"/>
    </row>
    <row r="136" spans="1:3" ht="12" customHeight="1" x14ac:dyDescent="0.25">
      <c r="A136" s="15" t="s">
        <v>95</v>
      </c>
      <c r="B136" s="9" t="s">
        <v>456</v>
      </c>
      <c r="C136" s="299"/>
    </row>
    <row r="137" spans="1:3" ht="12" customHeight="1" x14ac:dyDescent="0.25">
      <c r="A137" s="15" t="s">
        <v>173</v>
      </c>
      <c r="B137" s="9" t="s">
        <v>457</v>
      </c>
      <c r="C137" s="299"/>
    </row>
    <row r="138" spans="1:3" ht="12" customHeight="1" x14ac:dyDescent="0.25">
      <c r="A138" s="15" t="s">
        <v>174</v>
      </c>
      <c r="B138" s="9" t="s">
        <v>458</v>
      </c>
      <c r="C138" s="299"/>
    </row>
    <row r="139" spans="1:3" ht="12" customHeight="1" thickBot="1" x14ac:dyDescent="0.3">
      <c r="A139" s="13" t="s">
        <v>175</v>
      </c>
      <c r="B139" s="9" t="s">
        <v>459</v>
      </c>
      <c r="C139" s="299"/>
    </row>
    <row r="140" spans="1:3" ht="12" customHeight="1" thickBot="1" x14ac:dyDescent="0.3">
      <c r="A140" s="20" t="s">
        <v>23</v>
      </c>
      <c r="B140" s="150" t="s">
        <v>467</v>
      </c>
      <c r="C140" s="338">
        <f>+C141+C142+C143+C144</f>
        <v>0</v>
      </c>
    </row>
    <row r="141" spans="1:3" ht="12" customHeight="1" x14ac:dyDescent="0.25">
      <c r="A141" s="15" t="s">
        <v>96</v>
      </c>
      <c r="B141" s="9" t="s">
        <v>374</v>
      </c>
      <c r="C141" s="299"/>
    </row>
    <row r="142" spans="1:3" ht="12" customHeight="1" x14ac:dyDescent="0.25">
      <c r="A142" s="15" t="s">
        <v>97</v>
      </c>
      <c r="B142" s="9" t="s">
        <v>375</v>
      </c>
      <c r="C142" s="299"/>
    </row>
    <row r="143" spans="1:3" ht="12" customHeight="1" x14ac:dyDescent="0.25">
      <c r="A143" s="15" t="s">
        <v>288</v>
      </c>
      <c r="B143" s="9" t="s">
        <v>468</v>
      </c>
      <c r="C143" s="299"/>
    </row>
    <row r="144" spans="1:3" ht="12" customHeight="1" thickBot="1" x14ac:dyDescent="0.3">
      <c r="A144" s="13" t="s">
        <v>289</v>
      </c>
      <c r="B144" s="7" t="s">
        <v>394</v>
      </c>
      <c r="C144" s="299"/>
    </row>
    <row r="145" spans="1:9" ht="12" customHeight="1" thickBot="1" x14ac:dyDescent="0.3">
      <c r="A145" s="20" t="s">
        <v>24</v>
      </c>
      <c r="B145" s="150" t="s">
        <v>469</v>
      </c>
      <c r="C145" s="341">
        <f>SUM(C146:C150)</f>
        <v>0</v>
      </c>
    </row>
    <row r="146" spans="1:9" ht="12" customHeight="1" x14ac:dyDescent="0.25">
      <c r="A146" s="15" t="s">
        <v>98</v>
      </c>
      <c r="B146" s="9" t="s">
        <v>464</v>
      </c>
      <c r="C146" s="299"/>
    </row>
    <row r="147" spans="1:9" ht="12" customHeight="1" x14ac:dyDescent="0.25">
      <c r="A147" s="15" t="s">
        <v>99</v>
      </c>
      <c r="B147" s="9" t="s">
        <v>471</v>
      </c>
      <c r="C147" s="299"/>
    </row>
    <row r="148" spans="1:9" ht="12" customHeight="1" x14ac:dyDescent="0.25">
      <c r="A148" s="15" t="s">
        <v>300</v>
      </c>
      <c r="B148" s="9" t="s">
        <v>466</v>
      </c>
      <c r="C148" s="299"/>
    </row>
    <row r="149" spans="1:9" ht="12" customHeight="1" x14ac:dyDescent="0.25">
      <c r="A149" s="15" t="s">
        <v>301</v>
      </c>
      <c r="B149" s="9" t="s">
        <v>472</v>
      </c>
      <c r="C149" s="299"/>
    </row>
    <row r="150" spans="1:9" ht="12" customHeight="1" thickBot="1" x14ac:dyDescent="0.3">
      <c r="A150" s="15" t="s">
        <v>470</v>
      </c>
      <c r="B150" s="9" t="s">
        <v>473</v>
      </c>
      <c r="C150" s="299"/>
    </row>
    <row r="151" spans="1:9" ht="12" customHeight="1" thickBot="1" x14ac:dyDescent="0.3">
      <c r="A151" s="20" t="s">
        <v>25</v>
      </c>
      <c r="B151" s="150" t="s">
        <v>474</v>
      </c>
      <c r="C151" s="537"/>
    </row>
    <row r="152" spans="1:9" ht="12" customHeight="1" thickBot="1" x14ac:dyDescent="0.3">
      <c r="A152" s="20" t="s">
        <v>26</v>
      </c>
      <c r="B152" s="150" t="s">
        <v>475</v>
      </c>
      <c r="C152" s="537"/>
    </row>
    <row r="153" spans="1:9" ht="15" customHeight="1" thickBot="1" x14ac:dyDescent="0.3">
      <c r="A153" s="20" t="s">
        <v>27</v>
      </c>
      <c r="B153" s="150" t="s">
        <v>477</v>
      </c>
      <c r="C153" s="471">
        <f>+C129+C133+C140+C145+C151+C152</f>
        <v>0</v>
      </c>
      <c r="F153" s="472"/>
      <c r="G153" s="473"/>
      <c r="H153" s="473"/>
      <c r="I153" s="473"/>
    </row>
    <row r="154" spans="1:9" s="460" customFormat="1" ht="12.95" customHeight="1" thickBot="1" x14ac:dyDescent="0.25">
      <c r="A154" s="330" t="s">
        <v>28</v>
      </c>
      <c r="B154" s="423" t="s">
        <v>476</v>
      </c>
      <c r="C154" s="471">
        <f>+C128+C153</f>
        <v>45135273</v>
      </c>
    </row>
    <row r="155" spans="1:9" ht="7.5" customHeight="1" x14ac:dyDescent="0.25"/>
    <row r="156" spans="1:9" x14ac:dyDescent="0.25">
      <c r="A156" s="673" t="s">
        <v>376</v>
      </c>
      <c r="B156" s="673"/>
      <c r="C156" s="673"/>
    </row>
    <row r="157" spans="1:9" ht="15" customHeight="1" thickBot="1" x14ac:dyDescent="0.3">
      <c r="A157" s="671" t="s">
        <v>155</v>
      </c>
      <c r="B157" s="671"/>
      <c r="C157" s="342" t="s">
        <v>227</v>
      </c>
    </row>
    <row r="158" spans="1:9" ht="13.5" customHeight="1" thickBot="1" x14ac:dyDescent="0.3">
      <c r="A158" s="20">
        <v>1</v>
      </c>
      <c r="B158" s="30" t="s">
        <v>478</v>
      </c>
      <c r="C158" s="332">
        <f>+C62-C128</f>
        <v>-33895274</v>
      </c>
      <c r="D158" s="474"/>
    </row>
    <row r="159" spans="1:9" ht="27.75" customHeight="1" thickBot="1" x14ac:dyDescent="0.3">
      <c r="A159" s="20" t="s">
        <v>19</v>
      </c>
      <c r="B159" s="30" t="s">
        <v>576</v>
      </c>
      <c r="C159" s="332">
        <f>+C86-C153</f>
        <v>0</v>
      </c>
    </row>
  </sheetData>
  <mergeCells count="6">
    <mergeCell ref="A157:B157"/>
    <mergeCell ref="A1:C1"/>
    <mergeCell ref="A2:B2"/>
    <mergeCell ref="A89:C89"/>
    <mergeCell ref="A90:B90"/>
    <mergeCell ref="A156:C156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2017. ÉVI KÖLTSÉGVETÉS
ÖNKÉNT VÁLLALT FELADATAINAK MÉRLEGE
&amp;R&amp;"Times New Roman CE,Félkövér dőlt"&amp;11 1.3. melléklet a 6/2017. (III. 13.) önkormányzati rendelethez</oddHeader>
  </headerFooter>
  <rowBreaks count="1" manualBreakCount="1">
    <brk id="87" max="2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67"/>
  <sheetViews>
    <sheetView view="pageLayout" topLeftCell="A92" zoomScaleNormal="120" zoomScaleSheetLayoutView="100" workbookViewId="0">
      <selection activeCell="E130" sqref="E130"/>
    </sheetView>
  </sheetViews>
  <sheetFormatPr defaultRowHeight="15.75" x14ac:dyDescent="0.25"/>
  <cols>
    <col min="1" max="1" width="9" style="426" customWidth="1"/>
    <col min="2" max="2" width="75.83203125" style="426" customWidth="1"/>
    <col min="3" max="3" width="15.5" style="427" customWidth="1"/>
    <col min="4" max="5" width="15.5" style="426" customWidth="1"/>
    <col min="6" max="6" width="9" style="43" customWidth="1"/>
    <col min="7" max="16384" width="9.33203125" style="43"/>
  </cols>
  <sheetData>
    <row r="1" spans="1:5" ht="15.95" customHeight="1" x14ac:dyDescent="0.25">
      <c r="A1" s="670" t="s">
        <v>15</v>
      </c>
      <c r="B1" s="670"/>
      <c r="C1" s="670"/>
      <c r="D1" s="670"/>
      <c r="E1" s="670"/>
    </row>
    <row r="2" spans="1:5" ht="15.95" customHeight="1" thickBot="1" x14ac:dyDescent="0.3">
      <c r="A2" s="671" t="s">
        <v>153</v>
      </c>
      <c r="B2" s="671"/>
      <c r="D2" s="165"/>
      <c r="E2" s="342" t="s">
        <v>227</v>
      </c>
    </row>
    <row r="3" spans="1:5" ht="38.1" customHeight="1" thickBot="1" x14ac:dyDescent="0.3">
      <c r="A3" s="23" t="s">
        <v>71</v>
      </c>
      <c r="B3" s="24" t="s">
        <v>17</v>
      </c>
      <c r="C3" s="24" t="str">
        <f>+CONCATENATE(LEFT(ÖSSZEFÜGGÉSEK!A5,4)-2,". évi tény")</f>
        <v>2015. évi tény</v>
      </c>
      <c r="D3" s="449" t="str">
        <f>+CONCATENATE(LEFT(ÖSSZEFÜGGÉSEK!A5,4)-1,". évi várható")</f>
        <v>2016. évi várható</v>
      </c>
      <c r="E3" s="186" t="str">
        <f>+'1.1.sz.mell.'!C3</f>
        <v>2017. évi előirányzat</v>
      </c>
    </row>
    <row r="4" spans="1:5" s="45" customFormat="1" ht="12" customHeight="1" thickBot="1" x14ac:dyDescent="0.25">
      <c r="A4" s="36" t="s">
        <v>496</v>
      </c>
      <c r="B4" s="37" t="s">
        <v>497</v>
      </c>
      <c r="C4" s="37" t="s">
        <v>498</v>
      </c>
      <c r="D4" s="37" t="s">
        <v>500</v>
      </c>
      <c r="E4" s="493" t="s">
        <v>499</v>
      </c>
    </row>
    <row r="5" spans="1:5" s="1" customFormat="1" ht="12" customHeight="1" thickBot="1" x14ac:dyDescent="0.25">
      <c r="A5" s="20" t="s">
        <v>18</v>
      </c>
      <c r="B5" s="21" t="s">
        <v>252</v>
      </c>
      <c r="C5" s="441">
        <v>532483</v>
      </c>
      <c r="D5" s="441">
        <v>520552</v>
      </c>
      <c r="E5" s="298">
        <v>523029</v>
      </c>
    </row>
    <row r="6" spans="1:5" s="1" customFormat="1" ht="12" customHeight="1" x14ac:dyDescent="0.2">
      <c r="A6" s="15" t="s">
        <v>100</v>
      </c>
      <c r="B6" s="461" t="s">
        <v>253</v>
      </c>
      <c r="C6" s="443"/>
      <c r="D6" s="443"/>
      <c r="E6" s="300"/>
    </row>
    <row r="7" spans="1:5" s="1" customFormat="1" ht="12" customHeight="1" x14ac:dyDescent="0.2">
      <c r="A7" s="14" t="s">
        <v>101</v>
      </c>
      <c r="B7" s="462" t="s">
        <v>254</v>
      </c>
      <c r="C7" s="442"/>
      <c r="D7" s="442"/>
      <c r="E7" s="299"/>
    </row>
    <row r="8" spans="1:5" s="1" customFormat="1" ht="12" customHeight="1" x14ac:dyDescent="0.2">
      <c r="A8" s="14" t="s">
        <v>102</v>
      </c>
      <c r="B8" s="462" t="s">
        <v>255</v>
      </c>
      <c r="C8" s="442"/>
      <c r="D8" s="442"/>
      <c r="E8" s="299"/>
    </row>
    <row r="9" spans="1:5" s="1" customFormat="1" ht="12" customHeight="1" x14ac:dyDescent="0.2">
      <c r="A9" s="14" t="s">
        <v>103</v>
      </c>
      <c r="B9" s="462" t="s">
        <v>256</v>
      </c>
      <c r="C9" s="442"/>
      <c r="D9" s="442"/>
      <c r="E9" s="299"/>
    </row>
    <row r="10" spans="1:5" s="1" customFormat="1" ht="12" customHeight="1" x14ac:dyDescent="0.2">
      <c r="A10" s="14" t="s">
        <v>149</v>
      </c>
      <c r="B10" s="328" t="s">
        <v>436</v>
      </c>
      <c r="C10" s="442"/>
      <c r="D10" s="442"/>
      <c r="E10" s="299"/>
    </row>
    <row r="11" spans="1:5" s="1" customFormat="1" ht="12" customHeight="1" thickBot="1" x14ac:dyDescent="0.25">
      <c r="A11" s="16" t="s">
        <v>104</v>
      </c>
      <c r="B11" s="329" t="s">
        <v>437</v>
      </c>
      <c r="C11" s="442"/>
      <c r="D11" s="442"/>
      <c r="E11" s="299"/>
    </row>
    <row r="12" spans="1:5" s="1" customFormat="1" ht="12" customHeight="1" thickBot="1" x14ac:dyDescent="0.25">
      <c r="A12" s="20" t="s">
        <v>19</v>
      </c>
      <c r="B12" s="327" t="s">
        <v>257</v>
      </c>
      <c r="C12" s="441">
        <v>460041</v>
      </c>
      <c r="D12" s="441">
        <v>557903</v>
      </c>
      <c r="E12" s="298">
        <v>326754</v>
      </c>
    </row>
    <row r="13" spans="1:5" s="1" customFormat="1" ht="12" customHeight="1" x14ac:dyDescent="0.2">
      <c r="A13" s="15" t="s">
        <v>106</v>
      </c>
      <c r="B13" s="461" t="s">
        <v>258</v>
      </c>
      <c r="C13" s="443"/>
      <c r="D13" s="443"/>
      <c r="E13" s="300"/>
    </row>
    <row r="14" spans="1:5" s="1" customFormat="1" ht="12" customHeight="1" x14ac:dyDescent="0.2">
      <c r="A14" s="14" t="s">
        <v>107</v>
      </c>
      <c r="B14" s="462" t="s">
        <v>259</v>
      </c>
      <c r="C14" s="442"/>
      <c r="D14" s="442"/>
      <c r="E14" s="299"/>
    </row>
    <row r="15" spans="1:5" s="1" customFormat="1" ht="12" customHeight="1" x14ac:dyDescent="0.2">
      <c r="A15" s="14" t="s">
        <v>108</v>
      </c>
      <c r="B15" s="462" t="s">
        <v>426</v>
      </c>
      <c r="C15" s="442"/>
      <c r="D15" s="442"/>
      <c r="E15" s="299"/>
    </row>
    <row r="16" spans="1:5" s="1" customFormat="1" ht="12" customHeight="1" x14ac:dyDescent="0.2">
      <c r="A16" s="14" t="s">
        <v>109</v>
      </c>
      <c r="B16" s="462" t="s">
        <v>427</v>
      </c>
      <c r="C16" s="442"/>
      <c r="D16" s="442"/>
      <c r="E16" s="299"/>
    </row>
    <row r="17" spans="1:5" s="1" customFormat="1" ht="12" customHeight="1" x14ac:dyDescent="0.2">
      <c r="A17" s="14" t="s">
        <v>110</v>
      </c>
      <c r="B17" s="462" t="s">
        <v>260</v>
      </c>
      <c r="C17" s="442"/>
      <c r="D17" s="442"/>
      <c r="E17" s="299"/>
    </row>
    <row r="18" spans="1:5" s="1" customFormat="1" ht="12" customHeight="1" thickBot="1" x14ac:dyDescent="0.25">
      <c r="A18" s="16" t="s">
        <v>119</v>
      </c>
      <c r="B18" s="329" t="s">
        <v>261</v>
      </c>
      <c r="C18" s="444"/>
      <c r="D18" s="444"/>
      <c r="E18" s="301"/>
    </row>
    <row r="19" spans="1:5" s="1" customFormat="1" ht="12" customHeight="1" thickBot="1" x14ac:dyDescent="0.25">
      <c r="A19" s="20" t="s">
        <v>20</v>
      </c>
      <c r="B19" s="21" t="s">
        <v>262</v>
      </c>
      <c r="C19" s="441">
        <v>464911</v>
      </c>
      <c r="D19" s="441">
        <v>39413</v>
      </c>
      <c r="E19" s="298">
        <v>11889</v>
      </c>
    </row>
    <row r="20" spans="1:5" s="1" customFormat="1" ht="12" customHeight="1" x14ac:dyDescent="0.2">
      <c r="A20" s="15" t="s">
        <v>89</v>
      </c>
      <c r="B20" s="461" t="s">
        <v>263</v>
      </c>
      <c r="C20" s="443"/>
      <c r="D20" s="443"/>
      <c r="E20" s="300"/>
    </row>
    <row r="21" spans="1:5" s="1" customFormat="1" ht="12" customHeight="1" x14ac:dyDescent="0.2">
      <c r="A21" s="14" t="s">
        <v>90</v>
      </c>
      <c r="B21" s="462" t="s">
        <v>264</v>
      </c>
      <c r="C21" s="442"/>
      <c r="D21" s="442"/>
      <c r="E21" s="299"/>
    </row>
    <row r="22" spans="1:5" s="1" customFormat="1" ht="12" customHeight="1" x14ac:dyDescent="0.2">
      <c r="A22" s="14" t="s">
        <v>91</v>
      </c>
      <c r="B22" s="462" t="s">
        <v>428</v>
      </c>
      <c r="C22" s="442"/>
      <c r="D22" s="442"/>
      <c r="E22" s="299"/>
    </row>
    <row r="23" spans="1:5" s="1" customFormat="1" ht="12" customHeight="1" x14ac:dyDescent="0.2">
      <c r="A23" s="14" t="s">
        <v>92</v>
      </c>
      <c r="B23" s="462" t="s">
        <v>429</v>
      </c>
      <c r="C23" s="442"/>
      <c r="D23" s="442"/>
      <c r="E23" s="299"/>
    </row>
    <row r="24" spans="1:5" s="1" customFormat="1" ht="12" customHeight="1" x14ac:dyDescent="0.2">
      <c r="A24" s="14" t="s">
        <v>169</v>
      </c>
      <c r="B24" s="462" t="s">
        <v>265</v>
      </c>
      <c r="C24" s="442"/>
      <c r="D24" s="442"/>
      <c r="E24" s="299"/>
    </row>
    <row r="25" spans="1:5" s="1" customFormat="1" ht="12" customHeight="1" thickBot="1" x14ac:dyDescent="0.25">
      <c r="A25" s="16" t="s">
        <v>170</v>
      </c>
      <c r="B25" s="463" t="s">
        <v>266</v>
      </c>
      <c r="C25" s="444"/>
      <c r="D25" s="444"/>
      <c r="E25" s="301"/>
    </row>
    <row r="26" spans="1:5" s="1" customFormat="1" ht="12" customHeight="1" thickBot="1" x14ac:dyDescent="0.25">
      <c r="A26" s="20" t="s">
        <v>171</v>
      </c>
      <c r="B26" s="21" t="s">
        <v>267</v>
      </c>
      <c r="C26" s="448">
        <v>123587</v>
      </c>
      <c r="D26" s="448">
        <v>103838</v>
      </c>
      <c r="E26" s="492">
        <v>100808</v>
      </c>
    </row>
    <row r="27" spans="1:5" s="1" customFormat="1" ht="12" customHeight="1" x14ac:dyDescent="0.2">
      <c r="A27" s="15" t="s">
        <v>268</v>
      </c>
      <c r="B27" s="461" t="s">
        <v>559</v>
      </c>
      <c r="C27" s="443"/>
      <c r="D27" s="443"/>
      <c r="E27" s="333"/>
    </row>
    <row r="28" spans="1:5" s="1" customFormat="1" ht="12" customHeight="1" x14ac:dyDescent="0.2">
      <c r="A28" s="14" t="s">
        <v>269</v>
      </c>
      <c r="B28" s="462" t="s">
        <v>560</v>
      </c>
      <c r="C28" s="442"/>
      <c r="D28" s="442"/>
      <c r="E28" s="334"/>
    </row>
    <row r="29" spans="1:5" s="1" customFormat="1" ht="12" customHeight="1" x14ac:dyDescent="0.2">
      <c r="A29" s="14" t="s">
        <v>270</v>
      </c>
      <c r="B29" s="462" t="s">
        <v>561</v>
      </c>
      <c r="C29" s="442"/>
      <c r="D29" s="442"/>
      <c r="E29" s="334"/>
    </row>
    <row r="30" spans="1:5" s="1" customFormat="1" ht="12" customHeight="1" x14ac:dyDescent="0.2">
      <c r="A30" s="14" t="s">
        <v>271</v>
      </c>
      <c r="B30" s="462" t="s">
        <v>562</v>
      </c>
      <c r="C30" s="442"/>
      <c r="D30" s="442"/>
      <c r="E30" s="334"/>
    </row>
    <row r="31" spans="1:5" s="1" customFormat="1" ht="12" customHeight="1" x14ac:dyDescent="0.2">
      <c r="A31" s="14" t="s">
        <v>556</v>
      </c>
      <c r="B31" s="462" t="s">
        <v>272</v>
      </c>
      <c r="C31" s="442"/>
      <c r="D31" s="442"/>
      <c r="E31" s="334"/>
    </row>
    <row r="32" spans="1:5" s="1" customFormat="1" ht="12" customHeight="1" x14ac:dyDescent="0.2">
      <c r="A32" s="14" t="s">
        <v>557</v>
      </c>
      <c r="B32" s="462" t="s">
        <v>273</v>
      </c>
      <c r="C32" s="442"/>
      <c r="D32" s="442"/>
      <c r="E32" s="334"/>
    </row>
    <row r="33" spans="1:5" s="1" customFormat="1" ht="12" customHeight="1" thickBot="1" x14ac:dyDescent="0.25">
      <c r="A33" s="16" t="s">
        <v>558</v>
      </c>
      <c r="B33" s="463" t="s">
        <v>274</v>
      </c>
      <c r="C33" s="444"/>
      <c r="D33" s="444"/>
      <c r="E33" s="340"/>
    </row>
    <row r="34" spans="1:5" s="1" customFormat="1" ht="12" customHeight="1" thickBot="1" x14ac:dyDescent="0.25">
      <c r="A34" s="20" t="s">
        <v>22</v>
      </c>
      <c r="B34" s="21" t="s">
        <v>438</v>
      </c>
      <c r="C34" s="441">
        <v>148982</v>
      </c>
      <c r="D34" s="441">
        <v>123269</v>
      </c>
      <c r="E34" s="298">
        <v>99770</v>
      </c>
    </row>
    <row r="35" spans="1:5" s="1" customFormat="1" ht="12" customHeight="1" x14ac:dyDescent="0.2">
      <c r="A35" s="15" t="s">
        <v>93</v>
      </c>
      <c r="B35" s="461" t="s">
        <v>277</v>
      </c>
      <c r="C35" s="443"/>
      <c r="D35" s="443"/>
      <c r="E35" s="300"/>
    </row>
    <row r="36" spans="1:5" s="1" customFormat="1" ht="12" customHeight="1" x14ac:dyDescent="0.2">
      <c r="A36" s="14" t="s">
        <v>94</v>
      </c>
      <c r="B36" s="462" t="s">
        <v>278</v>
      </c>
      <c r="C36" s="442"/>
      <c r="D36" s="442"/>
      <c r="E36" s="299"/>
    </row>
    <row r="37" spans="1:5" s="1" customFormat="1" ht="12" customHeight="1" x14ac:dyDescent="0.2">
      <c r="A37" s="14" t="s">
        <v>95</v>
      </c>
      <c r="B37" s="462" t="s">
        <v>279</v>
      </c>
      <c r="C37" s="442"/>
      <c r="D37" s="442"/>
      <c r="E37" s="299"/>
    </row>
    <row r="38" spans="1:5" s="1" customFormat="1" ht="12" customHeight="1" x14ac:dyDescent="0.2">
      <c r="A38" s="14" t="s">
        <v>173</v>
      </c>
      <c r="B38" s="462" t="s">
        <v>280</v>
      </c>
      <c r="C38" s="442"/>
      <c r="D38" s="442"/>
      <c r="E38" s="299"/>
    </row>
    <row r="39" spans="1:5" s="1" customFormat="1" ht="12" customHeight="1" x14ac:dyDescent="0.2">
      <c r="A39" s="14" t="s">
        <v>174</v>
      </c>
      <c r="B39" s="462" t="s">
        <v>281</v>
      </c>
      <c r="C39" s="442"/>
      <c r="D39" s="442"/>
      <c r="E39" s="299"/>
    </row>
    <row r="40" spans="1:5" s="1" customFormat="1" ht="12" customHeight="1" x14ac:dyDescent="0.2">
      <c r="A40" s="14" t="s">
        <v>175</v>
      </c>
      <c r="B40" s="462" t="s">
        <v>282</v>
      </c>
      <c r="C40" s="442"/>
      <c r="D40" s="442"/>
      <c r="E40" s="299"/>
    </row>
    <row r="41" spans="1:5" s="1" customFormat="1" ht="12" customHeight="1" x14ac:dyDescent="0.2">
      <c r="A41" s="14" t="s">
        <v>176</v>
      </c>
      <c r="B41" s="462" t="s">
        <v>283</v>
      </c>
      <c r="C41" s="442"/>
      <c r="D41" s="442"/>
      <c r="E41" s="299"/>
    </row>
    <row r="42" spans="1:5" s="1" customFormat="1" ht="12" customHeight="1" x14ac:dyDescent="0.2">
      <c r="A42" s="14" t="s">
        <v>177</v>
      </c>
      <c r="B42" s="462" t="s">
        <v>563</v>
      </c>
      <c r="C42" s="442"/>
      <c r="D42" s="442"/>
      <c r="E42" s="299"/>
    </row>
    <row r="43" spans="1:5" s="1" customFormat="1" ht="12" customHeight="1" x14ac:dyDescent="0.2">
      <c r="A43" s="14" t="s">
        <v>275</v>
      </c>
      <c r="B43" s="462" t="s">
        <v>285</v>
      </c>
      <c r="C43" s="445"/>
      <c r="D43" s="445"/>
      <c r="E43" s="302"/>
    </row>
    <row r="44" spans="1:5" s="1" customFormat="1" ht="12" customHeight="1" x14ac:dyDescent="0.2">
      <c r="A44" s="16" t="s">
        <v>276</v>
      </c>
      <c r="B44" s="463" t="s">
        <v>440</v>
      </c>
      <c r="C44" s="446"/>
      <c r="D44" s="446"/>
      <c r="E44" s="303"/>
    </row>
    <row r="45" spans="1:5" s="1" customFormat="1" ht="12" customHeight="1" thickBot="1" x14ac:dyDescent="0.25">
      <c r="A45" s="16" t="s">
        <v>439</v>
      </c>
      <c r="B45" s="329" t="s">
        <v>286</v>
      </c>
      <c r="C45" s="446"/>
      <c r="D45" s="446"/>
      <c r="E45" s="303"/>
    </row>
    <row r="46" spans="1:5" s="1" customFormat="1" ht="12" customHeight="1" thickBot="1" x14ac:dyDescent="0.25">
      <c r="A46" s="20" t="s">
        <v>23</v>
      </c>
      <c r="B46" s="21" t="s">
        <v>287</v>
      </c>
      <c r="C46" s="441">
        <v>76555</v>
      </c>
      <c r="D46" s="441">
        <v>29622</v>
      </c>
      <c r="E46" s="298">
        <v>27204</v>
      </c>
    </row>
    <row r="47" spans="1:5" s="1" customFormat="1" ht="12" customHeight="1" x14ac:dyDescent="0.2">
      <c r="A47" s="15" t="s">
        <v>96</v>
      </c>
      <c r="B47" s="461" t="s">
        <v>291</v>
      </c>
      <c r="C47" s="508"/>
      <c r="D47" s="508"/>
      <c r="E47" s="325"/>
    </row>
    <row r="48" spans="1:5" s="1" customFormat="1" ht="12" customHeight="1" x14ac:dyDescent="0.2">
      <c r="A48" s="14" t="s">
        <v>97</v>
      </c>
      <c r="B48" s="462" t="s">
        <v>292</v>
      </c>
      <c r="C48" s="445"/>
      <c r="D48" s="445"/>
      <c r="E48" s="302"/>
    </row>
    <row r="49" spans="1:5" s="1" customFormat="1" ht="12" customHeight="1" x14ac:dyDescent="0.2">
      <c r="A49" s="14" t="s">
        <v>288</v>
      </c>
      <c r="B49" s="462" t="s">
        <v>293</v>
      </c>
      <c r="C49" s="445"/>
      <c r="D49" s="445"/>
      <c r="E49" s="302"/>
    </row>
    <row r="50" spans="1:5" s="1" customFormat="1" ht="12" customHeight="1" x14ac:dyDescent="0.2">
      <c r="A50" s="14" t="s">
        <v>289</v>
      </c>
      <c r="B50" s="462" t="s">
        <v>294</v>
      </c>
      <c r="C50" s="445"/>
      <c r="D50" s="445"/>
      <c r="E50" s="302"/>
    </row>
    <row r="51" spans="1:5" s="1" customFormat="1" ht="12" customHeight="1" thickBot="1" x14ac:dyDescent="0.25">
      <c r="A51" s="16" t="s">
        <v>290</v>
      </c>
      <c r="B51" s="329" t="s">
        <v>295</v>
      </c>
      <c r="C51" s="446"/>
      <c r="D51" s="446"/>
      <c r="E51" s="303"/>
    </row>
    <row r="52" spans="1:5" s="1" customFormat="1" ht="12" customHeight="1" thickBot="1" x14ac:dyDescent="0.25">
      <c r="A52" s="20" t="s">
        <v>178</v>
      </c>
      <c r="B52" s="21" t="s">
        <v>296</v>
      </c>
      <c r="C52" s="441">
        <v>10941</v>
      </c>
      <c r="D52" s="441"/>
      <c r="E52" s="298">
        <f>SUM(E53:E55)</f>
        <v>0</v>
      </c>
    </row>
    <row r="53" spans="1:5" s="1" customFormat="1" ht="12" customHeight="1" x14ac:dyDescent="0.2">
      <c r="A53" s="15" t="s">
        <v>98</v>
      </c>
      <c r="B53" s="461" t="s">
        <v>297</v>
      </c>
      <c r="C53" s="443"/>
      <c r="D53" s="443"/>
      <c r="E53" s="300"/>
    </row>
    <row r="54" spans="1:5" s="1" customFormat="1" ht="12" customHeight="1" x14ac:dyDescent="0.2">
      <c r="A54" s="14" t="s">
        <v>99</v>
      </c>
      <c r="B54" s="462" t="s">
        <v>430</v>
      </c>
      <c r="C54" s="442"/>
      <c r="D54" s="442"/>
      <c r="E54" s="299"/>
    </row>
    <row r="55" spans="1:5" s="1" customFormat="1" ht="12" customHeight="1" x14ac:dyDescent="0.2">
      <c r="A55" s="14" t="s">
        <v>300</v>
      </c>
      <c r="B55" s="462" t="s">
        <v>298</v>
      </c>
      <c r="C55" s="442"/>
      <c r="D55" s="442"/>
      <c r="E55" s="299"/>
    </row>
    <row r="56" spans="1:5" s="1" customFormat="1" ht="12" customHeight="1" thickBot="1" x14ac:dyDescent="0.25">
      <c r="A56" s="16" t="s">
        <v>301</v>
      </c>
      <c r="B56" s="329" t="s">
        <v>299</v>
      </c>
      <c r="C56" s="444"/>
      <c r="D56" s="444"/>
      <c r="E56" s="301"/>
    </row>
    <row r="57" spans="1:5" s="1" customFormat="1" ht="12" customHeight="1" thickBot="1" x14ac:dyDescent="0.25">
      <c r="A57" s="20" t="s">
        <v>25</v>
      </c>
      <c r="B57" s="327" t="s">
        <v>302</v>
      </c>
      <c r="C57" s="441">
        <v>3722</v>
      </c>
      <c r="D57" s="441">
        <v>3031</v>
      </c>
      <c r="E57" s="298">
        <v>810</v>
      </c>
    </row>
    <row r="58" spans="1:5" s="1" customFormat="1" ht="12" customHeight="1" x14ac:dyDescent="0.2">
      <c r="A58" s="15" t="s">
        <v>179</v>
      </c>
      <c r="B58" s="461" t="s">
        <v>304</v>
      </c>
      <c r="C58" s="445"/>
      <c r="D58" s="445"/>
      <c r="E58" s="302"/>
    </row>
    <row r="59" spans="1:5" s="1" customFormat="1" ht="12" customHeight="1" x14ac:dyDescent="0.2">
      <c r="A59" s="14" t="s">
        <v>180</v>
      </c>
      <c r="B59" s="462" t="s">
        <v>431</v>
      </c>
      <c r="C59" s="445"/>
      <c r="D59" s="445"/>
      <c r="E59" s="302"/>
    </row>
    <row r="60" spans="1:5" s="1" customFormat="1" ht="12" customHeight="1" x14ac:dyDescent="0.2">
      <c r="A60" s="14" t="s">
        <v>228</v>
      </c>
      <c r="B60" s="462" t="s">
        <v>305</v>
      </c>
      <c r="C60" s="445"/>
      <c r="D60" s="445"/>
      <c r="E60" s="302"/>
    </row>
    <row r="61" spans="1:5" s="1" customFormat="1" ht="12" customHeight="1" thickBot="1" x14ac:dyDescent="0.25">
      <c r="A61" s="16" t="s">
        <v>303</v>
      </c>
      <c r="B61" s="329" t="s">
        <v>306</v>
      </c>
      <c r="C61" s="445"/>
      <c r="D61" s="445"/>
      <c r="E61" s="302"/>
    </row>
    <row r="62" spans="1:5" s="1" customFormat="1" ht="12" customHeight="1" thickBot="1" x14ac:dyDescent="0.25">
      <c r="A62" s="538" t="s">
        <v>480</v>
      </c>
      <c r="B62" s="21" t="s">
        <v>307</v>
      </c>
      <c r="C62" s="448">
        <f>+C5+C12+C19+C26+C34+C46+C52+C57</f>
        <v>1821222</v>
      </c>
      <c r="D62" s="448">
        <f>+D5+D12+D19+D26+D34+D46+D52+D57</f>
        <v>1377628</v>
      </c>
      <c r="E62" s="492">
        <f>+E5+E12+E19+E26+E34+E46+E52+E57</f>
        <v>1090264</v>
      </c>
    </row>
    <row r="63" spans="1:5" s="1" customFormat="1" ht="12" customHeight="1" thickBot="1" x14ac:dyDescent="0.25">
      <c r="A63" s="509" t="s">
        <v>308</v>
      </c>
      <c r="B63" s="327" t="s">
        <v>547</v>
      </c>
      <c r="C63" s="441">
        <f>SUM(C64:C66)</f>
        <v>42886</v>
      </c>
      <c r="D63" s="441">
        <f>SUM(D64:D66)</f>
        <v>0</v>
      </c>
      <c r="E63" s="298">
        <f>SUM(E64:E66)</f>
        <v>29994</v>
      </c>
    </row>
    <row r="64" spans="1:5" s="1" customFormat="1" ht="12" customHeight="1" x14ac:dyDescent="0.2">
      <c r="A64" s="15" t="s">
        <v>340</v>
      </c>
      <c r="B64" s="461" t="s">
        <v>310</v>
      </c>
      <c r="C64" s="445">
        <v>42886</v>
      </c>
      <c r="D64" s="445">
        <v>0</v>
      </c>
      <c r="E64" s="302">
        <v>29994</v>
      </c>
    </row>
    <row r="65" spans="1:7" s="1" customFormat="1" ht="12" customHeight="1" x14ac:dyDescent="0.2">
      <c r="A65" s="14" t="s">
        <v>349</v>
      </c>
      <c r="B65" s="462" t="s">
        <v>311</v>
      </c>
      <c r="C65" s="445"/>
      <c r="D65" s="445"/>
      <c r="E65" s="302"/>
    </row>
    <row r="66" spans="1:7" s="1" customFormat="1" ht="12" customHeight="1" thickBot="1" x14ac:dyDescent="0.25">
      <c r="A66" s="16" t="s">
        <v>350</v>
      </c>
      <c r="B66" s="532" t="s">
        <v>465</v>
      </c>
      <c r="C66" s="445"/>
      <c r="D66" s="445"/>
      <c r="E66" s="302"/>
    </row>
    <row r="67" spans="1:7" s="1" customFormat="1" ht="12" customHeight="1" thickBot="1" x14ac:dyDescent="0.25">
      <c r="A67" s="509" t="s">
        <v>313</v>
      </c>
      <c r="B67" s="327" t="s">
        <v>314</v>
      </c>
      <c r="C67" s="441">
        <f>SUM(C68:C71)</f>
        <v>0</v>
      </c>
      <c r="D67" s="441">
        <f>SUM(D68:D71)</f>
        <v>0</v>
      </c>
      <c r="E67" s="298">
        <f>SUM(E68:E71)</f>
        <v>0</v>
      </c>
    </row>
    <row r="68" spans="1:7" s="1" customFormat="1" ht="12" customHeight="1" x14ac:dyDescent="0.2">
      <c r="A68" s="15" t="s">
        <v>150</v>
      </c>
      <c r="B68" s="461" t="s">
        <v>315</v>
      </c>
      <c r="C68" s="445"/>
      <c r="D68" s="445"/>
      <c r="E68" s="302"/>
    </row>
    <row r="69" spans="1:7" s="1" customFormat="1" ht="17.25" customHeight="1" x14ac:dyDescent="0.25">
      <c r="A69" s="14" t="s">
        <v>151</v>
      </c>
      <c r="B69" s="462" t="s">
        <v>316</v>
      </c>
      <c r="C69" s="445"/>
      <c r="D69" s="445"/>
      <c r="E69" s="302"/>
      <c r="G69" s="46"/>
    </row>
    <row r="70" spans="1:7" s="1" customFormat="1" ht="12" customHeight="1" x14ac:dyDescent="0.2">
      <c r="A70" s="14" t="s">
        <v>341</v>
      </c>
      <c r="B70" s="462" t="s">
        <v>317</v>
      </c>
      <c r="C70" s="445"/>
      <c r="D70" s="445"/>
      <c r="E70" s="302"/>
    </row>
    <row r="71" spans="1:7" s="1" customFormat="1" ht="12" customHeight="1" thickBot="1" x14ac:dyDescent="0.25">
      <c r="A71" s="16" t="s">
        <v>342</v>
      </c>
      <c r="B71" s="329" t="s">
        <v>318</v>
      </c>
      <c r="C71" s="445"/>
      <c r="D71" s="445"/>
      <c r="E71" s="302"/>
    </row>
    <row r="72" spans="1:7" s="1" customFormat="1" ht="12" customHeight="1" thickBot="1" x14ac:dyDescent="0.25">
      <c r="A72" s="509" t="s">
        <v>319</v>
      </c>
      <c r="B72" s="327" t="s">
        <v>320</v>
      </c>
      <c r="C72" s="441">
        <f>SUM(C73:C74)</f>
        <v>31344</v>
      </c>
      <c r="D72" s="441">
        <f>SUM(D73:D74)</f>
        <v>145745</v>
      </c>
      <c r="E72" s="298">
        <f>SUM(E73:E74)</f>
        <v>72349</v>
      </c>
    </row>
    <row r="73" spans="1:7" s="1" customFormat="1" ht="12" customHeight="1" x14ac:dyDescent="0.2">
      <c r="A73" s="15" t="s">
        <v>343</v>
      </c>
      <c r="B73" s="461" t="s">
        <v>321</v>
      </c>
      <c r="C73" s="445">
        <v>31344</v>
      </c>
      <c r="D73" s="445">
        <v>145162</v>
      </c>
      <c r="E73" s="302">
        <v>72349</v>
      </c>
    </row>
    <row r="74" spans="1:7" s="1" customFormat="1" ht="12" customHeight="1" thickBot="1" x14ac:dyDescent="0.25">
      <c r="A74" s="16" t="s">
        <v>344</v>
      </c>
      <c r="B74" s="329" t="s">
        <v>322</v>
      </c>
      <c r="C74" s="445"/>
      <c r="D74" s="445">
        <v>583</v>
      </c>
      <c r="E74" s="302"/>
    </row>
    <row r="75" spans="1:7" s="1" customFormat="1" ht="12" customHeight="1" thickBot="1" x14ac:dyDescent="0.25">
      <c r="A75" s="509" t="s">
        <v>323</v>
      </c>
      <c r="B75" s="327" t="s">
        <v>324</v>
      </c>
      <c r="C75" s="441">
        <f>SUM(C76:C78)</f>
        <v>15197</v>
      </c>
      <c r="D75" s="441">
        <f>SUM(D76:D78)</f>
        <v>18143</v>
      </c>
      <c r="E75" s="298">
        <f>SUM(E76:E78)</f>
        <v>0</v>
      </c>
    </row>
    <row r="76" spans="1:7" s="1" customFormat="1" ht="12" customHeight="1" x14ac:dyDescent="0.2">
      <c r="A76" s="15" t="s">
        <v>345</v>
      </c>
      <c r="B76" s="461" t="s">
        <v>325</v>
      </c>
      <c r="C76" s="445">
        <v>15197</v>
      </c>
      <c r="D76" s="445">
        <v>18143</v>
      </c>
      <c r="E76" s="302"/>
    </row>
    <row r="77" spans="1:7" s="1" customFormat="1" ht="12" customHeight="1" x14ac:dyDescent="0.2">
      <c r="A77" s="14" t="s">
        <v>346</v>
      </c>
      <c r="B77" s="462" t="s">
        <v>326</v>
      </c>
      <c r="C77" s="445"/>
      <c r="D77" s="445"/>
      <c r="E77" s="302"/>
    </row>
    <row r="78" spans="1:7" s="1" customFormat="1" ht="12" customHeight="1" thickBot="1" x14ac:dyDescent="0.25">
      <c r="A78" s="16" t="s">
        <v>347</v>
      </c>
      <c r="B78" s="329" t="s">
        <v>327</v>
      </c>
      <c r="C78" s="445"/>
      <c r="D78" s="445"/>
      <c r="E78" s="302"/>
    </row>
    <row r="79" spans="1:7" s="1" customFormat="1" ht="12" customHeight="1" thickBot="1" x14ac:dyDescent="0.25">
      <c r="A79" s="509" t="s">
        <v>328</v>
      </c>
      <c r="B79" s="327" t="s">
        <v>348</v>
      </c>
      <c r="C79" s="441">
        <f>SUM(C80:C83)</f>
        <v>0</v>
      </c>
      <c r="D79" s="441">
        <f>SUM(D80:D83)</f>
        <v>0</v>
      </c>
      <c r="E79" s="298">
        <f>SUM(E80:E83)</f>
        <v>0</v>
      </c>
    </row>
    <row r="80" spans="1:7" s="1" customFormat="1" ht="12" customHeight="1" x14ac:dyDescent="0.2">
      <c r="A80" s="465" t="s">
        <v>329</v>
      </c>
      <c r="B80" s="461" t="s">
        <v>330</v>
      </c>
      <c r="C80" s="445"/>
      <c r="D80" s="445"/>
      <c r="E80" s="302"/>
    </row>
    <row r="81" spans="1:6" s="1" customFormat="1" ht="12" customHeight="1" x14ac:dyDescent="0.2">
      <c r="A81" s="466" t="s">
        <v>331</v>
      </c>
      <c r="B81" s="462" t="s">
        <v>332</v>
      </c>
      <c r="C81" s="445"/>
      <c r="D81" s="445"/>
      <c r="E81" s="302"/>
    </row>
    <row r="82" spans="1:6" s="1" customFormat="1" ht="12" customHeight="1" x14ac:dyDescent="0.2">
      <c r="A82" s="466" t="s">
        <v>333</v>
      </c>
      <c r="B82" s="462" t="s">
        <v>334</v>
      </c>
      <c r="C82" s="445"/>
      <c r="D82" s="445"/>
      <c r="E82" s="302"/>
    </row>
    <row r="83" spans="1:6" s="1" customFormat="1" ht="12" customHeight="1" thickBot="1" x14ac:dyDescent="0.25">
      <c r="A83" s="467" t="s">
        <v>335</v>
      </c>
      <c r="B83" s="329" t="s">
        <v>336</v>
      </c>
      <c r="C83" s="445"/>
      <c r="D83" s="445"/>
      <c r="E83" s="302"/>
    </row>
    <row r="84" spans="1:6" s="1" customFormat="1" ht="12" customHeight="1" thickBot="1" x14ac:dyDescent="0.25">
      <c r="A84" s="509" t="s">
        <v>337</v>
      </c>
      <c r="B84" s="327" t="s">
        <v>479</v>
      </c>
      <c r="C84" s="511"/>
      <c r="D84" s="511"/>
      <c r="E84" s="512"/>
    </row>
    <row r="85" spans="1:6" s="1" customFormat="1" ht="12" customHeight="1" thickBot="1" x14ac:dyDescent="0.25">
      <c r="A85" s="509" t="s">
        <v>339</v>
      </c>
      <c r="B85" s="327" t="s">
        <v>338</v>
      </c>
      <c r="C85" s="511"/>
      <c r="D85" s="511"/>
      <c r="E85" s="512"/>
    </row>
    <row r="86" spans="1:6" s="1" customFormat="1" ht="12" customHeight="1" thickBot="1" x14ac:dyDescent="0.25">
      <c r="A86" s="509" t="s">
        <v>351</v>
      </c>
      <c r="B86" s="468" t="s">
        <v>482</v>
      </c>
      <c r="C86" s="448">
        <f>+C63+C67+C72+C75+C79+C85+C84</f>
        <v>89427</v>
      </c>
      <c r="D86" s="448">
        <f>+D63+D67+D72+D75+D79+D85+D84</f>
        <v>163888</v>
      </c>
      <c r="E86" s="492">
        <f>+E63+E67+E72+E75+E79+E85+E84</f>
        <v>102343</v>
      </c>
    </row>
    <row r="87" spans="1:6" s="1" customFormat="1" ht="12" customHeight="1" thickBot="1" x14ac:dyDescent="0.25">
      <c r="A87" s="510" t="s">
        <v>481</v>
      </c>
      <c r="B87" s="469" t="s">
        <v>483</v>
      </c>
      <c r="C87" s="448">
        <f>+C62+C86</f>
        <v>1910649</v>
      </c>
      <c r="D87" s="448">
        <f>+D62+D86</f>
        <v>1541516</v>
      </c>
      <c r="E87" s="492">
        <f>+E62+E86</f>
        <v>1192607</v>
      </c>
    </row>
    <row r="88" spans="1:6" s="1" customFormat="1" ht="12" customHeight="1" x14ac:dyDescent="0.2">
      <c r="A88" s="410"/>
      <c r="B88" s="411"/>
      <c r="C88" s="412"/>
      <c r="D88" s="413"/>
      <c r="E88" s="414"/>
    </row>
    <row r="89" spans="1:6" s="1" customFormat="1" ht="12" customHeight="1" x14ac:dyDescent="0.2">
      <c r="A89" s="670" t="s">
        <v>47</v>
      </c>
      <c r="B89" s="670"/>
      <c r="C89" s="670"/>
      <c r="D89" s="670"/>
      <c r="E89" s="670"/>
    </row>
    <row r="90" spans="1:6" s="1" customFormat="1" ht="12" customHeight="1" thickBot="1" x14ac:dyDescent="0.25">
      <c r="A90" s="672" t="s">
        <v>154</v>
      </c>
      <c r="B90" s="672"/>
      <c r="C90" s="427"/>
      <c r="D90" s="165"/>
      <c r="E90" s="342" t="s">
        <v>227</v>
      </c>
    </row>
    <row r="91" spans="1:6" s="1" customFormat="1" ht="24" customHeight="1" thickBot="1" x14ac:dyDescent="0.25">
      <c r="A91" s="23" t="s">
        <v>16</v>
      </c>
      <c r="B91" s="24" t="s">
        <v>48</v>
      </c>
      <c r="C91" s="24" t="str">
        <f>+C3</f>
        <v>2015. évi tény</v>
      </c>
      <c r="D91" s="24" t="str">
        <f>+D3</f>
        <v>2016. évi várható</v>
      </c>
      <c r="E91" s="186" t="str">
        <f>+E3</f>
        <v>2017. évi előirányzat</v>
      </c>
      <c r="F91" s="173"/>
    </row>
    <row r="92" spans="1:6" s="1" customFormat="1" ht="12" customHeight="1" thickBot="1" x14ac:dyDescent="0.25">
      <c r="A92" s="36" t="s">
        <v>496</v>
      </c>
      <c r="B92" s="37" t="s">
        <v>497</v>
      </c>
      <c r="C92" s="37" t="s">
        <v>498</v>
      </c>
      <c r="D92" s="37" t="s">
        <v>500</v>
      </c>
      <c r="E92" s="493" t="s">
        <v>499</v>
      </c>
      <c r="F92" s="173"/>
    </row>
    <row r="93" spans="1:6" s="1" customFormat="1" ht="15" customHeight="1" thickBot="1" x14ac:dyDescent="0.25">
      <c r="A93" s="22" t="s">
        <v>18</v>
      </c>
      <c r="B93" s="31" t="s">
        <v>441</v>
      </c>
      <c r="C93" s="440">
        <f>C94+C95+C96+C97+C98+C111</f>
        <v>1252091</v>
      </c>
      <c r="D93" s="440">
        <f>D94+D95+D96+D97+D98+D111</f>
        <v>1077002</v>
      </c>
      <c r="E93" s="542">
        <f>E94+E95+E96+E97+E98+E111</f>
        <v>1075874</v>
      </c>
      <c r="F93" s="173"/>
    </row>
    <row r="94" spans="1:6" s="1" customFormat="1" ht="12.95" customHeight="1" x14ac:dyDescent="0.2">
      <c r="A94" s="17" t="s">
        <v>100</v>
      </c>
      <c r="B94" s="10" t="s">
        <v>49</v>
      </c>
      <c r="C94" s="549">
        <v>515696</v>
      </c>
      <c r="D94" s="549">
        <v>512143</v>
      </c>
      <c r="E94" s="543">
        <v>567695</v>
      </c>
    </row>
    <row r="95" spans="1:6" ht="16.5" customHeight="1" x14ac:dyDescent="0.25">
      <c r="A95" s="14" t="s">
        <v>101</v>
      </c>
      <c r="B95" s="8" t="s">
        <v>181</v>
      </c>
      <c r="C95" s="442">
        <v>106046</v>
      </c>
      <c r="D95" s="442">
        <v>105114</v>
      </c>
      <c r="E95" s="299">
        <v>104093</v>
      </c>
    </row>
    <row r="96" spans="1:6" x14ac:dyDescent="0.25">
      <c r="A96" s="14" t="s">
        <v>102</v>
      </c>
      <c r="B96" s="8" t="s">
        <v>142</v>
      </c>
      <c r="C96" s="444">
        <v>496974</v>
      </c>
      <c r="D96" s="444">
        <v>382096</v>
      </c>
      <c r="E96" s="301">
        <v>355426</v>
      </c>
    </row>
    <row r="97" spans="1:5" s="45" customFormat="1" ht="12" customHeight="1" x14ac:dyDescent="0.2">
      <c r="A97" s="14" t="s">
        <v>103</v>
      </c>
      <c r="B97" s="11" t="s">
        <v>182</v>
      </c>
      <c r="C97" s="444">
        <v>60631</v>
      </c>
      <c r="D97" s="444">
        <v>16670</v>
      </c>
      <c r="E97" s="301">
        <v>24760</v>
      </c>
    </row>
    <row r="98" spans="1:5" ht="12" customHeight="1" x14ac:dyDescent="0.25">
      <c r="A98" s="14" t="s">
        <v>114</v>
      </c>
      <c r="B98" s="19" t="s">
        <v>183</v>
      </c>
      <c r="C98" s="444">
        <v>72744</v>
      </c>
      <c r="D98" s="444">
        <v>60979</v>
      </c>
      <c r="E98" s="301">
        <v>23900</v>
      </c>
    </row>
    <row r="99" spans="1:5" ht="12" customHeight="1" x14ac:dyDescent="0.25">
      <c r="A99" s="14" t="s">
        <v>104</v>
      </c>
      <c r="B99" s="8" t="s">
        <v>446</v>
      </c>
      <c r="C99" s="444"/>
      <c r="D99" s="444"/>
      <c r="E99" s="301"/>
    </row>
    <row r="100" spans="1:5" ht="12" customHeight="1" x14ac:dyDescent="0.25">
      <c r="A100" s="14" t="s">
        <v>105</v>
      </c>
      <c r="B100" s="169" t="s">
        <v>445</v>
      </c>
      <c r="C100" s="444"/>
      <c r="D100" s="444"/>
      <c r="E100" s="301"/>
    </row>
    <row r="101" spans="1:5" ht="12" customHeight="1" x14ac:dyDescent="0.25">
      <c r="A101" s="14" t="s">
        <v>115</v>
      </c>
      <c r="B101" s="169" t="s">
        <v>444</v>
      </c>
      <c r="C101" s="444"/>
      <c r="D101" s="444"/>
      <c r="E101" s="301"/>
    </row>
    <row r="102" spans="1:5" ht="12" customHeight="1" x14ac:dyDescent="0.25">
      <c r="A102" s="14" t="s">
        <v>116</v>
      </c>
      <c r="B102" s="167" t="s">
        <v>354</v>
      </c>
      <c r="C102" s="444"/>
      <c r="D102" s="444"/>
      <c r="E102" s="301"/>
    </row>
    <row r="103" spans="1:5" ht="12" customHeight="1" x14ac:dyDescent="0.25">
      <c r="A103" s="14" t="s">
        <v>117</v>
      </c>
      <c r="B103" s="168" t="s">
        <v>355</v>
      </c>
      <c r="C103" s="444"/>
      <c r="D103" s="444"/>
      <c r="E103" s="301"/>
    </row>
    <row r="104" spans="1:5" ht="12" customHeight="1" x14ac:dyDescent="0.25">
      <c r="A104" s="14" t="s">
        <v>118</v>
      </c>
      <c r="B104" s="168" t="s">
        <v>356</v>
      </c>
      <c r="C104" s="444"/>
      <c r="D104" s="444"/>
      <c r="E104" s="301"/>
    </row>
    <row r="105" spans="1:5" ht="12" customHeight="1" x14ac:dyDescent="0.25">
      <c r="A105" s="14" t="s">
        <v>120</v>
      </c>
      <c r="B105" s="167" t="s">
        <v>357</v>
      </c>
      <c r="C105" s="444"/>
      <c r="D105" s="444"/>
      <c r="E105" s="301"/>
    </row>
    <row r="106" spans="1:5" ht="12" customHeight="1" x14ac:dyDescent="0.25">
      <c r="A106" s="14" t="s">
        <v>184</v>
      </c>
      <c r="B106" s="167" t="s">
        <v>358</v>
      </c>
      <c r="C106" s="444"/>
      <c r="D106" s="444"/>
      <c r="E106" s="301"/>
    </row>
    <row r="107" spans="1:5" ht="12" customHeight="1" x14ac:dyDescent="0.25">
      <c r="A107" s="14" t="s">
        <v>352</v>
      </c>
      <c r="B107" s="168" t="s">
        <v>359</v>
      </c>
      <c r="C107" s="444"/>
      <c r="D107" s="444"/>
      <c r="E107" s="301"/>
    </row>
    <row r="108" spans="1:5" ht="12" customHeight="1" x14ac:dyDescent="0.25">
      <c r="A108" s="13" t="s">
        <v>353</v>
      </c>
      <c r="B108" s="169" t="s">
        <v>360</v>
      </c>
      <c r="C108" s="444"/>
      <c r="D108" s="444"/>
      <c r="E108" s="301"/>
    </row>
    <row r="109" spans="1:5" ht="12" customHeight="1" x14ac:dyDescent="0.25">
      <c r="A109" s="14" t="s">
        <v>442</v>
      </c>
      <c r="B109" s="169" t="s">
        <v>361</v>
      </c>
      <c r="C109" s="444"/>
      <c r="D109" s="444"/>
      <c r="E109" s="301"/>
    </row>
    <row r="110" spans="1:5" ht="12" customHeight="1" x14ac:dyDescent="0.25">
      <c r="A110" s="16" t="s">
        <v>443</v>
      </c>
      <c r="B110" s="169" t="s">
        <v>362</v>
      </c>
      <c r="C110" s="444"/>
      <c r="D110" s="444"/>
      <c r="E110" s="301"/>
    </row>
    <row r="111" spans="1:5" ht="12" customHeight="1" x14ac:dyDescent="0.25">
      <c r="A111" s="14" t="s">
        <v>447</v>
      </c>
      <c r="B111" s="11" t="s">
        <v>50</v>
      </c>
      <c r="C111" s="442"/>
      <c r="D111" s="442"/>
      <c r="E111" s="299"/>
    </row>
    <row r="112" spans="1:5" ht="12" customHeight="1" x14ac:dyDescent="0.25">
      <c r="A112" s="14" t="s">
        <v>448</v>
      </c>
      <c r="B112" s="8" t="s">
        <v>450</v>
      </c>
      <c r="C112" s="442"/>
      <c r="D112" s="442"/>
      <c r="E112" s="299"/>
    </row>
    <row r="113" spans="1:5" ht="12" customHeight="1" thickBot="1" x14ac:dyDescent="0.3">
      <c r="A113" s="18" t="s">
        <v>449</v>
      </c>
      <c r="B113" s="536" t="s">
        <v>451</v>
      </c>
      <c r="C113" s="550"/>
      <c r="D113" s="550"/>
      <c r="E113" s="544"/>
    </row>
    <row r="114" spans="1:5" ht="12" customHeight="1" thickBot="1" x14ac:dyDescent="0.3">
      <c r="A114" s="533" t="s">
        <v>19</v>
      </c>
      <c r="B114" s="534" t="s">
        <v>363</v>
      </c>
      <c r="C114" s="551">
        <f>+C115+C117+C119</f>
        <v>498450</v>
      </c>
      <c r="D114" s="551">
        <f>+D115+D117+D119</f>
        <v>141254</v>
      </c>
      <c r="E114" s="545">
        <f>+E115+E117+E119</f>
        <v>94105</v>
      </c>
    </row>
    <row r="115" spans="1:5" ht="12" customHeight="1" x14ac:dyDescent="0.25">
      <c r="A115" s="15" t="s">
        <v>106</v>
      </c>
      <c r="B115" s="8" t="s">
        <v>226</v>
      </c>
      <c r="C115" s="443">
        <v>262102</v>
      </c>
      <c r="D115" s="443">
        <v>103983</v>
      </c>
      <c r="E115" s="300">
        <v>93105</v>
      </c>
    </row>
    <row r="116" spans="1:5" x14ac:dyDescent="0.25">
      <c r="A116" s="15" t="s">
        <v>107</v>
      </c>
      <c r="B116" s="12" t="s">
        <v>367</v>
      </c>
      <c r="C116" s="443"/>
      <c r="D116" s="443"/>
      <c r="E116" s="300"/>
    </row>
    <row r="117" spans="1:5" ht="12" customHeight="1" x14ac:dyDescent="0.25">
      <c r="A117" s="15" t="s">
        <v>108</v>
      </c>
      <c r="B117" s="12" t="s">
        <v>185</v>
      </c>
      <c r="C117" s="442">
        <v>233648</v>
      </c>
      <c r="D117" s="442">
        <v>37271</v>
      </c>
      <c r="E117" s="299">
        <v>1000</v>
      </c>
    </row>
    <row r="118" spans="1:5" ht="12" customHeight="1" x14ac:dyDescent="0.25">
      <c r="A118" s="15" t="s">
        <v>109</v>
      </c>
      <c r="B118" s="12" t="s">
        <v>368</v>
      </c>
      <c r="C118" s="442"/>
      <c r="D118" s="442"/>
      <c r="E118" s="299"/>
    </row>
    <row r="119" spans="1:5" ht="12" customHeight="1" x14ac:dyDescent="0.25">
      <c r="A119" s="15" t="s">
        <v>110</v>
      </c>
      <c r="B119" s="329" t="s">
        <v>229</v>
      </c>
      <c r="C119" s="442">
        <v>2700</v>
      </c>
      <c r="D119" s="442">
        <v>0</v>
      </c>
      <c r="E119" s="299">
        <v>0</v>
      </c>
    </row>
    <row r="120" spans="1:5" ht="12" customHeight="1" x14ac:dyDescent="0.25">
      <c r="A120" s="15" t="s">
        <v>119</v>
      </c>
      <c r="B120" s="328" t="s">
        <v>432</v>
      </c>
      <c r="C120" s="442"/>
      <c r="D120" s="442"/>
      <c r="E120" s="299"/>
    </row>
    <row r="121" spans="1:5" ht="12" customHeight="1" x14ac:dyDescent="0.25">
      <c r="A121" s="15" t="s">
        <v>121</v>
      </c>
      <c r="B121" s="457" t="s">
        <v>373</v>
      </c>
      <c r="C121" s="442"/>
      <c r="D121" s="442"/>
      <c r="E121" s="299"/>
    </row>
    <row r="122" spans="1:5" ht="12" customHeight="1" x14ac:dyDescent="0.25">
      <c r="A122" s="15" t="s">
        <v>186</v>
      </c>
      <c r="B122" s="168" t="s">
        <v>356</v>
      </c>
      <c r="C122" s="442"/>
      <c r="D122" s="442"/>
      <c r="E122" s="299"/>
    </row>
    <row r="123" spans="1:5" ht="12" customHeight="1" x14ac:dyDescent="0.25">
      <c r="A123" s="15" t="s">
        <v>187</v>
      </c>
      <c r="B123" s="168" t="s">
        <v>372</v>
      </c>
      <c r="C123" s="442"/>
      <c r="D123" s="442"/>
      <c r="E123" s="299"/>
    </row>
    <row r="124" spans="1:5" ht="12" customHeight="1" x14ac:dyDescent="0.25">
      <c r="A124" s="15" t="s">
        <v>188</v>
      </c>
      <c r="B124" s="168" t="s">
        <v>371</v>
      </c>
      <c r="C124" s="442"/>
      <c r="D124" s="442"/>
      <c r="E124" s="299"/>
    </row>
    <row r="125" spans="1:5" ht="12" customHeight="1" x14ac:dyDescent="0.25">
      <c r="A125" s="15" t="s">
        <v>364</v>
      </c>
      <c r="B125" s="168" t="s">
        <v>359</v>
      </c>
      <c r="C125" s="442"/>
      <c r="D125" s="442"/>
      <c r="E125" s="299"/>
    </row>
    <row r="126" spans="1:5" ht="12" customHeight="1" x14ac:dyDescent="0.25">
      <c r="A126" s="15" t="s">
        <v>365</v>
      </c>
      <c r="B126" s="168" t="s">
        <v>370</v>
      </c>
      <c r="C126" s="442"/>
      <c r="D126" s="442"/>
      <c r="E126" s="299"/>
    </row>
    <row r="127" spans="1:5" ht="12" customHeight="1" thickBot="1" x14ac:dyDescent="0.3">
      <c r="A127" s="13" t="s">
        <v>366</v>
      </c>
      <c r="B127" s="168" t="s">
        <v>369</v>
      </c>
      <c r="C127" s="444"/>
      <c r="D127" s="444"/>
      <c r="E127" s="301"/>
    </row>
    <row r="128" spans="1:5" ht="12" customHeight="1" thickBot="1" x14ac:dyDescent="0.3">
      <c r="A128" s="20" t="s">
        <v>20</v>
      </c>
      <c r="B128" s="150" t="s">
        <v>452</v>
      </c>
      <c r="C128" s="441">
        <f>+C93+C114</f>
        <v>1750541</v>
      </c>
      <c r="D128" s="441">
        <f>+D93+D114</f>
        <v>1218256</v>
      </c>
      <c r="E128" s="298">
        <f>+E93+E114</f>
        <v>1169979</v>
      </c>
    </row>
    <row r="129" spans="1:5" ht="12" customHeight="1" thickBot="1" x14ac:dyDescent="0.3">
      <c r="A129" s="20" t="s">
        <v>21</v>
      </c>
      <c r="B129" s="150" t="s">
        <v>453</v>
      </c>
      <c r="C129" s="441">
        <f>+C130+C131+C132</f>
        <v>500</v>
      </c>
      <c r="D129" s="441">
        <f>+D130+D131+D132</f>
        <v>1633</v>
      </c>
      <c r="E129" s="298">
        <f>+E130+E131+E132</f>
        <v>3532</v>
      </c>
    </row>
    <row r="130" spans="1:5" ht="12" customHeight="1" x14ac:dyDescent="0.25">
      <c r="A130" s="15" t="s">
        <v>268</v>
      </c>
      <c r="B130" s="12" t="s">
        <v>460</v>
      </c>
      <c r="C130" s="442">
        <v>500</v>
      </c>
      <c r="D130" s="442">
        <v>1633</v>
      </c>
      <c r="E130" s="299">
        <v>3532</v>
      </c>
    </row>
    <row r="131" spans="1:5" ht="12" customHeight="1" x14ac:dyDescent="0.25">
      <c r="A131" s="15" t="s">
        <v>269</v>
      </c>
      <c r="B131" s="12" t="s">
        <v>461</v>
      </c>
      <c r="C131" s="442"/>
      <c r="D131" s="442"/>
      <c r="E131" s="299"/>
    </row>
    <row r="132" spans="1:5" ht="12" customHeight="1" thickBot="1" x14ac:dyDescent="0.3">
      <c r="A132" s="13" t="s">
        <v>270</v>
      </c>
      <c r="B132" s="12" t="s">
        <v>462</v>
      </c>
      <c r="C132" s="442"/>
      <c r="D132" s="442"/>
      <c r="E132" s="299"/>
    </row>
    <row r="133" spans="1:5" ht="12" customHeight="1" thickBot="1" x14ac:dyDescent="0.3">
      <c r="A133" s="20" t="s">
        <v>22</v>
      </c>
      <c r="B133" s="150" t="s">
        <v>454</v>
      </c>
      <c r="C133" s="441">
        <f>SUM(C134:C139)</f>
        <v>0</v>
      </c>
      <c r="D133" s="441">
        <f>SUM(D134:D139)</f>
        <v>0</v>
      </c>
      <c r="E133" s="298">
        <f>SUM(E134:E139)</f>
        <v>0</v>
      </c>
    </row>
    <row r="134" spans="1:5" ht="12" customHeight="1" x14ac:dyDescent="0.25">
      <c r="A134" s="15" t="s">
        <v>93</v>
      </c>
      <c r="B134" s="9" t="s">
        <v>463</v>
      </c>
      <c r="C134" s="442"/>
      <c r="D134" s="442"/>
      <c r="E134" s="299"/>
    </row>
    <row r="135" spans="1:5" ht="12" customHeight="1" x14ac:dyDescent="0.25">
      <c r="A135" s="15" t="s">
        <v>94</v>
      </c>
      <c r="B135" s="9" t="s">
        <v>455</v>
      </c>
      <c r="C135" s="442"/>
      <c r="D135" s="442"/>
      <c r="E135" s="299"/>
    </row>
    <row r="136" spans="1:5" ht="12" customHeight="1" x14ac:dyDescent="0.25">
      <c r="A136" s="15" t="s">
        <v>95</v>
      </c>
      <c r="B136" s="9" t="s">
        <v>456</v>
      </c>
      <c r="C136" s="442"/>
      <c r="D136" s="442"/>
      <c r="E136" s="299"/>
    </row>
    <row r="137" spans="1:5" ht="12" customHeight="1" x14ac:dyDescent="0.25">
      <c r="A137" s="15" t="s">
        <v>173</v>
      </c>
      <c r="B137" s="9" t="s">
        <v>457</v>
      </c>
      <c r="C137" s="442"/>
      <c r="D137" s="442"/>
      <c r="E137" s="299"/>
    </row>
    <row r="138" spans="1:5" ht="12" customHeight="1" x14ac:dyDescent="0.25">
      <c r="A138" s="15" t="s">
        <v>174</v>
      </c>
      <c r="B138" s="9" t="s">
        <v>458</v>
      </c>
      <c r="C138" s="442"/>
      <c r="D138" s="442"/>
      <c r="E138" s="299"/>
    </row>
    <row r="139" spans="1:5" ht="12" customHeight="1" thickBot="1" x14ac:dyDescent="0.3">
      <c r="A139" s="13" t="s">
        <v>175</v>
      </c>
      <c r="B139" s="9" t="s">
        <v>459</v>
      </c>
      <c r="C139" s="442"/>
      <c r="D139" s="442"/>
      <c r="E139" s="299"/>
    </row>
    <row r="140" spans="1:5" ht="12" customHeight="1" thickBot="1" x14ac:dyDescent="0.3">
      <c r="A140" s="20" t="s">
        <v>23</v>
      </c>
      <c r="B140" s="150" t="s">
        <v>467</v>
      </c>
      <c r="C140" s="448">
        <f>+C141+C142+C143+C144</f>
        <v>15629</v>
      </c>
      <c r="D140" s="448">
        <f>+D141+D142+D143+D144</f>
        <v>17544</v>
      </c>
      <c r="E140" s="492">
        <f>+E141+E142+E143+E144</f>
        <v>19096</v>
      </c>
    </row>
    <row r="141" spans="1:5" ht="12" customHeight="1" x14ac:dyDescent="0.25">
      <c r="A141" s="15" t="s">
        <v>96</v>
      </c>
      <c r="B141" s="9" t="s">
        <v>374</v>
      </c>
      <c r="C141" s="442"/>
      <c r="D141" s="442"/>
      <c r="E141" s="299"/>
    </row>
    <row r="142" spans="1:5" ht="12" customHeight="1" x14ac:dyDescent="0.25">
      <c r="A142" s="15" t="s">
        <v>97</v>
      </c>
      <c r="B142" s="9" t="s">
        <v>375</v>
      </c>
      <c r="C142" s="442">
        <v>15197</v>
      </c>
      <c r="D142" s="442">
        <v>16664</v>
      </c>
      <c r="E142" s="299">
        <v>18143</v>
      </c>
    </row>
    <row r="143" spans="1:5" ht="12" customHeight="1" x14ac:dyDescent="0.25">
      <c r="A143" s="15" t="s">
        <v>288</v>
      </c>
      <c r="B143" s="9" t="s">
        <v>468</v>
      </c>
      <c r="C143" s="442"/>
      <c r="D143" s="442"/>
      <c r="E143" s="299"/>
    </row>
    <row r="144" spans="1:5" ht="12" customHeight="1" thickBot="1" x14ac:dyDescent="0.3">
      <c r="A144" s="13" t="s">
        <v>289</v>
      </c>
      <c r="B144" s="7" t="s">
        <v>394</v>
      </c>
      <c r="C144" s="442">
        <v>432</v>
      </c>
      <c r="D144" s="442">
        <v>880</v>
      </c>
      <c r="E144" s="299">
        <v>953</v>
      </c>
    </row>
    <row r="145" spans="1:6" ht="12" customHeight="1" thickBot="1" x14ac:dyDescent="0.3">
      <c r="A145" s="20" t="s">
        <v>24</v>
      </c>
      <c r="B145" s="150" t="s">
        <v>469</v>
      </c>
      <c r="C145" s="552">
        <f>SUM(C146:C150)</f>
        <v>0</v>
      </c>
      <c r="D145" s="552">
        <f>SUM(D146:D150)</f>
        <v>0</v>
      </c>
      <c r="E145" s="546">
        <f>SUM(E146:E150)</f>
        <v>0</v>
      </c>
    </row>
    <row r="146" spans="1:6" ht="12" customHeight="1" x14ac:dyDescent="0.25">
      <c r="A146" s="15" t="s">
        <v>98</v>
      </c>
      <c r="B146" s="9" t="s">
        <v>464</v>
      </c>
      <c r="C146" s="442"/>
      <c r="D146" s="442"/>
      <c r="E146" s="299"/>
    </row>
    <row r="147" spans="1:6" ht="12" customHeight="1" x14ac:dyDescent="0.25">
      <c r="A147" s="15" t="s">
        <v>99</v>
      </c>
      <c r="B147" s="9" t="s">
        <v>471</v>
      </c>
      <c r="C147" s="442"/>
      <c r="D147" s="442"/>
      <c r="E147" s="299"/>
    </row>
    <row r="148" spans="1:6" ht="12" customHeight="1" x14ac:dyDescent="0.25">
      <c r="A148" s="15" t="s">
        <v>300</v>
      </c>
      <c r="B148" s="9" t="s">
        <v>466</v>
      </c>
      <c r="C148" s="442"/>
      <c r="D148" s="442"/>
      <c r="E148" s="299"/>
    </row>
    <row r="149" spans="1:6" ht="12" customHeight="1" x14ac:dyDescent="0.25">
      <c r="A149" s="15" t="s">
        <v>301</v>
      </c>
      <c r="B149" s="9" t="s">
        <v>472</v>
      </c>
      <c r="C149" s="442"/>
      <c r="D149" s="442"/>
      <c r="E149" s="299"/>
    </row>
    <row r="150" spans="1:6" ht="12" customHeight="1" thickBot="1" x14ac:dyDescent="0.3">
      <c r="A150" s="15" t="s">
        <v>470</v>
      </c>
      <c r="B150" s="9" t="s">
        <v>473</v>
      </c>
      <c r="C150" s="442"/>
      <c r="D150" s="442"/>
      <c r="E150" s="299"/>
    </row>
    <row r="151" spans="1:6" ht="12" customHeight="1" thickBot="1" x14ac:dyDescent="0.3">
      <c r="A151" s="20" t="s">
        <v>25</v>
      </c>
      <c r="B151" s="150" t="s">
        <v>474</v>
      </c>
      <c r="C151" s="553"/>
      <c r="D151" s="553"/>
      <c r="E151" s="547"/>
    </row>
    <row r="152" spans="1:6" ht="12" customHeight="1" thickBot="1" x14ac:dyDescent="0.3">
      <c r="A152" s="20" t="s">
        <v>26</v>
      </c>
      <c r="B152" s="150" t="s">
        <v>475</v>
      </c>
      <c r="C152" s="553"/>
      <c r="D152" s="553"/>
      <c r="E152" s="547"/>
    </row>
    <row r="153" spans="1:6" ht="15" customHeight="1" thickBot="1" x14ac:dyDescent="0.3">
      <c r="A153" s="20" t="s">
        <v>27</v>
      </c>
      <c r="B153" s="150" t="s">
        <v>477</v>
      </c>
      <c r="C153" s="554">
        <f>+C129+C133+C140+C145+C151+C152</f>
        <v>16129</v>
      </c>
      <c r="D153" s="554">
        <f>+D129+D133+D140+D145+D151+D152</f>
        <v>19177</v>
      </c>
      <c r="E153" s="548">
        <f>+E129+E133+E140+E145+E151+E152</f>
        <v>22628</v>
      </c>
      <c r="F153" s="151"/>
    </row>
    <row r="154" spans="1:6" s="1" customFormat="1" ht="12.95" customHeight="1" thickBot="1" x14ac:dyDescent="0.25">
      <c r="A154" s="330" t="s">
        <v>28</v>
      </c>
      <c r="B154" s="423" t="s">
        <v>476</v>
      </c>
      <c r="C154" s="554">
        <f>+C128+C153</f>
        <v>1766670</v>
      </c>
      <c r="D154" s="554">
        <f>+D128+D153</f>
        <v>1237433</v>
      </c>
      <c r="E154" s="548">
        <f>+E128+E153</f>
        <v>1192607</v>
      </c>
    </row>
    <row r="155" spans="1:6" x14ac:dyDescent="0.25">
      <c r="C155" s="426"/>
    </row>
    <row r="156" spans="1:6" x14ac:dyDescent="0.25">
      <c r="C156" s="426"/>
    </row>
    <row r="157" spans="1:6" x14ac:dyDescent="0.25">
      <c r="C157" s="426"/>
    </row>
    <row r="158" spans="1:6" ht="16.5" customHeight="1" x14ac:dyDescent="0.25">
      <c r="C158" s="426"/>
    </row>
    <row r="159" spans="1:6" x14ac:dyDescent="0.25">
      <c r="C159" s="426"/>
    </row>
    <row r="160" spans="1:6" x14ac:dyDescent="0.25">
      <c r="C160" s="426"/>
    </row>
    <row r="161" spans="3:3" x14ac:dyDescent="0.25">
      <c r="C161" s="426"/>
    </row>
    <row r="162" spans="3:3" x14ac:dyDescent="0.25">
      <c r="C162" s="426"/>
    </row>
    <row r="163" spans="3:3" x14ac:dyDescent="0.25">
      <c r="C163" s="426"/>
    </row>
    <row r="164" spans="3:3" x14ac:dyDescent="0.25">
      <c r="C164" s="426"/>
    </row>
    <row r="165" spans="3:3" x14ac:dyDescent="0.25">
      <c r="C165" s="426"/>
    </row>
    <row r="166" spans="3:3" x14ac:dyDescent="0.25">
      <c r="C166" s="426"/>
    </row>
    <row r="167" spans="3:3" x14ac:dyDescent="0.25">
      <c r="C167" s="426"/>
    </row>
  </sheetData>
  <mergeCells count="4">
    <mergeCell ref="A1:E1"/>
    <mergeCell ref="A89:E89"/>
    <mergeCell ref="A90:B90"/>
    <mergeCell ref="A2:B2"/>
  </mergeCells>
  <phoneticPr fontId="30" type="noConversion"/>
  <printOptions horizontalCentered="1"/>
  <pageMargins left="0.78740157480314965" right="0.78740157480314965" top="1.4566929133858268" bottom="0.86614173228346458" header="0.78740157480314965" footer="0.59055118110236227"/>
  <pageSetup paperSize="9" scale="61" fitToWidth="3" fitToHeight="2" orientation="portrait" r:id="rId1"/>
  <headerFooter alignWithMargins="0">
    <oddHeader>&amp;C&amp;"Times New Roman CE,Félkövér"&amp;12&amp;UTájékoztató kimutatások, mérlegek
&amp;U
Ibrány Város Önkormányzata
2017. ÉVI KÖLTSÉGVETÉSÉNEK ÖSSZEVONT MÉRLEGE&amp;R&amp;"Times New Roman CE,Félkövér dőlt"&amp;11 1. számú tájékoztató tábla</oddHeader>
  </headerFooter>
  <rowBreaks count="1" manualBreakCount="1">
    <brk id="88" max="4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7"/>
  <sheetViews>
    <sheetView topLeftCell="A4" zoomScaleNormal="100" workbookViewId="0">
      <selection activeCell="J18" sqref="J18:J20"/>
    </sheetView>
  </sheetViews>
  <sheetFormatPr defaultRowHeight="12.75" x14ac:dyDescent="0.2"/>
  <cols>
    <col min="1" max="1" width="6.83203125" style="215" customWidth="1"/>
    <col min="2" max="2" width="49.6640625" style="61" customWidth="1"/>
    <col min="3" max="9" width="12.83203125" style="61" customWidth="1"/>
    <col min="10" max="10" width="14.33203125" style="61" customWidth="1"/>
    <col min="11" max="11" width="3.33203125" style="61" customWidth="1"/>
    <col min="12" max="16384" width="9.33203125" style="61"/>
  </cols>
  <sheetData>
    <row r="1" spans="1:11" ht="27.75" customHeight="1" x14ac:dyDescent="0.2">
      <c r="A1" s="698" t="s">
        <v>4</v>
      </c>
      <c r="B1" s="698"/>
      <c r="C1" s="698"/>
      <c r="D1" s="698"/>
      <c r="E1" s="698"/>
      <c r="F1" s="698"/>
      <c r="G1" s="698"/>
      <c r="H1" s="698"/>
      <c r="I1" s="698"/>
      <c r="J1" s="698"/>
    </row>
    <row r="2" spans="1:11" ht="20.25" customHeight="1" thickBot="1" x14ac:dyDescent="0.3">
      <c r="J2" s="527" t="s">
        <v>62</v>
      </c>
    </row>
    <row r="3" spans="1:11" s="528" customFormat="1" ht="26.25" customHeight="1" x14ac:dyDescent="0.2">
      <c r="A3" s="706" t="s">
        <v>71</v>
      </c>
      <c r="B3" s="701" t="s">
        <v>87</v>
      </c>
      <c r="C3" s="708" t="s">
        <v>88</v>
      </c>
      <c r="D3" s="706" t="s">
        <v>674</v>
      </c>
      <c r="E3" s="706" t="str">
        <f>+CONCATENATE(LEFT(ÖSSZEFÜGGÉSEK!A5,4)," előtti kifizetés")</f>
        <v>2017 előtti kifizetés</v>
      </c>
      <c r="F3" s="703" t="s">
        <v>70</v>
      </c>
      <c r="G3" s="704"/>
      <c r="H3" s="704"/>
      <c r="I3" s="705"/>
      <c r="J3" s="701" t="s">
        <v>51</v>
      </c>
    </row>
    <row r="4" spans="1:11" s="529" customFormat="1" ht="32.25" customHeight="1" thickBot="1" x14ac:dyDescent="0.25">
      <c r="A4" s="707"/>
      <c r="B4" s="702"/>
      <c r="C4" s="709"/>
      <c r="D4" s="707"/>
      <c r="E4" s="707"/>
      <c r="F4" s="304" t="str">
        <f>+CONCATENATE(LEFT(ÖSSZEFÜGGÉSEK!A5,4),".")</f>
        <v>2017.</v>
      </c>
      <c r="G4" s="304" t="str">
        <f>+CONCATENATE(LEFT(ÖSSZEFÜGGÉSEK!A5,4)+1,".")</f>
        <v>2018.</v>
      </c>
      <c r="H4" s="304" t="str">
        <f>+CONCATENATE(LEFT(ÖSSZEFÜGGÉSEK!A5,4)+2,".")</f>
        <v>2019.</v>
      </c>
      <c r="I4" s="305" t="str">
        <f>+CONCATENATE(LEFT(ÖSSZEFÜGGÉSEK!A5,4)+2,".",CHAR(10)," után")</f>
        <v>2019.
 után</v>
      </c>
      <c r="J4" s="702"/>
    </row>
    <row r="5" spans="1:11" s="530" customFormat="1" ht="12.95" customHeight="1" thickBot="1" x14ac:dyDescent="0.25">
      <c r="A5" s="306" t="s">
        <v>496</v>
      </c>
      <c r="B5" s="307" t="s">
        <v>497</v>
      </c>
      <c r="C5" s="308" t="s">
        <v>498</v>
      </c>
      <c r="D5" s="307" t="s">
        <v>500</v>
      </c>
      <c r="E5" s="307" t="s">
        <v>499</v>
      </c>
      <c r="F5" s="306" t="s">
        <v>501</v>
      </c>
      <c r="G5" s="308" t="s">
        <v>502</v>
      </c>
      <c r="H5" s="308" t="s">
        <v>503</v>
      </c>
      <c r="I5" s="309" t="s">
        <v>675</v>
      </c>
      <c r="J5" s="310" t="s">
        <v>676</v>
      </c>
    </row>
    <row r="6" spans="1:11" ht="24.75" customHeight="1" thickBot="1" x14ac:dyDescent="0.25">
      <c r="A6" s="311" t="s">
        <v>18</v>
      </c>
      <c r="B6" s="312" t="s">
        <v>5</v>
      </c>
      <c r="C6" s="639"/>
      <c r="D6" s="642"/>
      <c r="E6" s="76">
        <f>+E7+E8</f>
        <v>0</v>
      </c>
      <c r="F6" s="77">
        <f>+F7+F8</f>
        <v>0</v>
      </c>
      <c r="G6" s="78">
        <f>+G7+G8</f>
        <v>0</v>
      </c>
      <c r="H6" s="78">
        <f>+H7+H8</f>
        <v>0</v>
      </c>
      <c r="I6" s="79">
        <f>+I7+I8</f>
        <v>0</v>
      </c>
      <c r="J6" s="76">
        <f t="shared" ref="J6:J26" si="0">SUM(E6:I6)</f>
        <v>0</v>
      </c>
    </row>
    <row r="7" spans="1:11" ht="20.100000000000001" customHeight="1" x14ac:dyDescent="0.2">
      <c r="A7" s="313" t="s">
        <v>19</v>
      </c>
      <c r="B7" s="80" t="s">
        <v>72</v>
      </c>
      <c r="C7" s="640"/>
      <c r="D7" s="628"/>
      <c r="E7" s="81"/>
      <c r="F7" s="82"/>
      <c r="G7" s="28"/>
      <c r="H7" s="28"/>
      <c r="I7" s="25"/>
      <c r="J7" s="314">
        <f t="shared" si="0"/>
        <v>0</v>
      </c>
      <c r="K7" s="697" t="s">
        <v>530</v>
      </c>
    </row>
    <row r="8" spans="1:11" ht="20.100000000000001" customHeight="1" thickBot="1" x14ac:dyDescent="0.25">
      <c r="A8" s="313" t="s">
        <v>20</v>
      </c>
      <c r="B8" s="80" t="s">
        <v>72</v>
      </c>
      <c r="C8" s="640"/>
      <c r="D8" s="628"/>
      <c r="E8" s="81"/>
      <c r="F8" s="82"/>
      <c r="G8" s="28"/>
      <c r="H8" s="28"/>
      <c r="I8" s="25"/>
      <c r="J8" s="314">
        <f t="shared" si="0"/>
        <v>0</v>
      </c>
      <c r="K8" s="697"/>
    </row>
    <row r="9" spans="1:11" ht="26.1" customHeight="1" thickBot="1" x14ac:dyDescent="0.25">
      <c r="A9" s="311" t="s">
        <v>21</v>
      </c>
      <c r="B9" s="312" t="s">
        <v>6</v>
      </c>
      <c r="C9" s="641"/>
      <c r="D9" s="643"/>
      <c r="E9" s="76">
        <f>SUM(E10:E16)</f>
        <v>7406</v>
      </c>
      <c r="F9" s="77">
        <f>SUM(F10:F17)</f>
        <v>6351</v>
      </c>
      <c r="G9" s="78">
        <f>SUM(G10:G20)</f>
        <v>8601</v>
      </c>
      <c r="H9" s="78">
        <f>SUM(H10:H20)</f>
        <v>10849</v>
      </c>
      <c r="I9" s="79">
        <f>SUM(I10:I20)</f>
        <v>54063</v>
      </c>
      <c r="J9" s="76">
        <f t="shared" si="0"/>
        <v>87270</v>
      </c>
      <c r="K9" s="697"/>
    </row>
    <row r="10" spans="1:11" ht="20.100000000000001" customHeight="1" x14ac:dyDescent="0.2">
      <c r="A10" s="631" t="s">
        <v>22</v>
      </c>
      <c r="B10" s="630" t="s">
        <v>697</v>
      </c>
      <c r="C10" s="627" t="s">
        <v>588</v>
      </c>
      <c r="D10" s="644" t="s">
        <v>677</v>
      </c>
      <c r="E10" s="625">
        <f>500+504</f>
        <v>1004</v>
      </c>
      <c r="F10" s="619">
        <v>2016</v>
      </c>
      <c r="G10" s="620">
        <v>2016</v>
      </c>
      <c r="H10" s="620">
        <v>2016</v>
      </c>
      <c r="I10" s="621">
        <v>19140</v>
      </c>
      <c r="J10" s="617">
        <f t="shared" si="0"/>
        <v>26192</v>
      </c>
      <c r="K10" s="697"/>
    </row>
    <row r="11" spans="1:11" ht="20.100000000000001" customHeight="1" x14ac:dyDescent="0.2">
      <c r="A11" s="651"/>
      <c r="B11" s="630" t="s">
        <v>700</v>
      </c>
      <c r="C11" s="652"/>
      <c r="D11" s="644"/>
      <c r="E11" s="625">
        <v>2190</v>
      </c>
      <c r="F11" s="653">
        <v>1042</v>
      </c>
      <c r="G11" s="654">
        <v>958</v>
      </c>
      <c r="H11" s="654">
        <v>874</v>
      </c>
      <c r="I11" s="655">
        <v>790</v>
      </c>
      <c r="J11" s="656">
        <f>SUM(E11:I11)</f>
        <v>5854</v>
      </c>
      <c r="K11" s="697"/>
    </row>
    <row r="12" spans="1:11" ht="20.100000000000001" customHeight="1" x14ac:dyDescent="0.2">
      <c r="A12" s="632" t="s">
        <v>23</v>
      </c>
      <c r="B12" s="630" t="s">
        <v>698</v>
      </c>
      <c r="C12" s="628" t="s">
        <v>588</v>
      </c>
      <c r="D12" s="645" t="s">
        <v>677</v>
      </c>
      <c r="E12" s="625">
        <v>129</v>
      </c>
      <c r="F12" s="82">
        <v>516</v>
      </c>
      <c r="G12" s="28">
        <v>516</v>
      </c>
      <c r="H12" s="28">
        <v>516</v>
      </c>
      <c r="I12" s="25">
        <v>5019</v>
      </c>
      <c r="J12" s="314">
        <f t="shared" si="0"/>
        <v>6696</v>
      </c>
      <c r="K12" s="697"/>
    </row>
    <row r="13" spans="1:11" ht="20.100000000000001" customHeight="1" x14ac:dyDescent="0.2">
      <c r="A13" s="632"/>
      <c r="B13" s="630" t="s">
        <v>699</v>
      </c>
      <c r="C13" s="628"/>
      <c r="D13" s="645"/>
      <c r="E13" s="625">
        <v>560</v>
      </c>
      <c r="F13" s="82">
        <v>266</v>
      </c>
      <c r="G13" s="28">
        <v>245</v>
      </c>
      <c r="H13" s="28">
        <v>223</v>
      </c>
      <c r="I13" s="25">
        <v>202</v>
      </c>
      <c r="J13" s="314">
        <f>SUM(E13:I13)</f>
        <v>1496</v>
      </c>
      <c r="K13" s="697"/>
    </row>
    <row r="14" spans="1:11" ht="20.100000000000001" customHeight="1" x14ac:dyDescent="0.2">
      <c r="A14" s="632" t="s">
        <v>24</v>
      </c>
      <c r="B14" s="630" t="s">
        <v>701</v>
      </c>
      <c r="C14" s="628" t="s">
        <v>589</v>
      </c>
      <c r="D14" s="645" t="s">
        <v>678</v>
      </c>
      <c r="E14" s="625">
        <f>500+1000</f>
        <v>1500</v>
      </c>
      <c r="F14" s="82">
        <v>1000</v>
      </c>
      <c r="G14" s="28">
        <v>1000</v>
      </c>
      <c r="H14" s="28">
        <v>1000</v>
      </c>
      <c r="I14" s="25">
        <v>5498</v>
      </c>
      <c r="J14" s="314">
        <f t="shared" si="0"/>
        <v>9998</v>
      </c>
      <c r="K14" s="697"/>
    </row>
    <row r="15" spans="1:11" ht="20.100000000000001" customHeight="1" x14ac:dyDescent="0.2">
      <c r="A15" s="632"/>
      <c r="B15" s="630" t="s">
        <v>702</v>
      </c>
      <c r="C15" s="628"/>
      <c r="D15" s="645"/>
      <c r="E15" s="625">
        <v>711</v>
      </c>
      <c r="F15" s="82">
        <v>303</v>
      </c>
      <c r="G15" s="28">
        <v>266</v>
      </c>
      <c r="H15" s="28">
        <v>228</v>
      </c>
      <c r="I15" s="25">
        <v>191</v>
      </c>
      <c r="J15" s="314">
        <f>SUM(E15:I15)</f>
        <v>1699</v>
      </c>
      <c r="K15" s="697"/>
    </row>
    <row r="16" spans="1:11" ht="20.100000000000001" customHeight="1" x14ac:dyDescent="0.2">
      <c r="A16" s="632" t="s">
        <v>25</v>
      </c>
      <c r="B16" s="630" t="s">
        <v>703</v>
      </c>
      <c r="C16" s="628" t="s">
        <v>589</v>
      </c>
      <c r="D16" s="645" t="s">
        <v>679</v>
      </c>
      <c r="E16" s="625">
        <f>432+880</f>
        <v>1312</v>
      </c>
      <c r="F16" s="82">
        <v>953</v>
      </c>
      <c r="G16" s="28">
        <v>1033</v>
      </c>
      <c r="H16" s="28">
        <v>1119</v>
      </c>
      <c r="I16" s="25">
        <v>493</v>
      </c>
      <c r="J16" s="314">
        <f t="shared" si="0"/>
        <v>4910</v>
      </c>
      <c r="K16" s="697"/>
    </row>
    <row r="17" spans="1:11" ht="20.100000000000001" customHeight="1" x14ac:dyDescent="0.2">
      <c r="A17" s="632"/>
      <c r="B17" s="630" t="s">
        <v>704</v>
      </c>
      <c r="C17" s="628"/>
      <c r="D17" s="645"/>
      <c r="E17" s="625"/>
      <c r="F17" s="82">
        <v>255</v>
      </c>
      <c r="G17" s="28">
        <v>175</v>
      </c>
      <c r="H17" s="28">
        <v>89</v>
      </c>
      <c r="I17" s="25">
        <v>10</v>
      </c>
      <c r="J17" s="314">
        <f>SUM(E17:I17)</f>
        <v>529</v>
      </c>
      <c r="K17" s="697"/>
    </row>
    <row r="18" spans="1:11" ht="20.100000000000001" customHeight="1" x14ac:dyDescent="0.2">
      <c r="A18" s="632" t="s">
        <v>26</v>
      </c>
      <c r="B18" s="664" t="s">
        <v>708</v>
      </c>
      <c r="C18" s="628" t="s">
        <v>665</v>
      </c>
      <c r="D18" s="645" t="s">
        <v>680</v>
      </c>
      <c r="E18" s="625"/>
      <c r="F18" s="82">
        <v>0</v>
      </c>
      <c r="G18" s="28">
        <v>800</v>
      </c>
      <c r="H18" s="28">
        <v>1600</v>
      </c>
      <c r="I18" s="25">
        <v>7598</v>
      </c>
      <c r="J18" s="314">
        <v>9998</v>
      </c>
      <c r="K18" s="697"/>
    </row>
    <row r="19" spans="1:11" ht="24" customHeight="1" x14ac:dyDescent="0.2">
      <c r="A19" s="632" t="s">
        <v>27</v>
      </c>
      <c r="B19" s="664" t="s">
        <v>709</v>
      </c>
      <c r="C19" s="628" t="s">
        <v>665</v>
      </c>
      <c r="D19" s="645" t="s">
        <v>680</v>
      </c>
      <c r="E19" s="625"/>
      <c r="F19" s="82">
        <v>0</v>
      </c>
      <c r="G19" s="28">
        <v>800</v>
      </c>
      <c r="H19" s="28">
        <v>1600</v>
      </c>
      <c r="I19" s="25">
        <v>7598</v>
      </c>
      <c r="J19" s="314">
        <v>9998</v>
      </c>
      <c r="K19" s="697"/>
    </row>
    <row r="20" spans="1:11" ht="27" customHeight="1" thickBot="1" x14ac:dyDescent="0.25">
      <c r="A20" s="633">
        <v>11</v>
      </c>
      <c r="B20" s="665" t="s">
        <v>710</v>
      </c>
      <c r="C20" s="629" t="s">
        <v>665</v>
      </c>
      <c r="D20" s="646" t="s">
        <v>680</v>
      </c>
      <c r="E20" s="626"/>
      <c r="F20" s="622">
        <v>0</v>
      </c>
      <c r="G20" s="623">
        <v>792</v>
      </c>
      <c r="H20" s="623">
        <v>1584</v>
      </c>
      <c r="I20" s="624">
        <v>7524</v>
      </c>
      <c r="J20" s="618">
        <v>9900</v>
      </c>
      <c r="K20" s="697"/>
    </row>
    <row r="21" spans="1:11" ht="20.100000000000001" customHeight="1" thickBot="1" x14ac:dyDescent="0.25">
      <c r="A21" s="311" t="s">
        <v>29</v>
      </c>
      <c r="B21" s="312" t="s">
        <v>205</v>
      </c>
      <c r="C21" s="524"/>
      <c r="D21" s="635"/>
      <c r="E21" s="76">
        <f>+E22</f>
        <v>0</v>
      </c>
      <c r="F21" s="77">
        <f>+F22</f>
        <v>0</v>
      </c>
      <c r="G21" s="78">
        <f>+G22</f>
        <v>0</v>
      </c>
      <c r="H21" s="78">
        <f>+H22</f>
        <v>0</v>
      </c>
      <c r="I21" s="79">
        <f>+I22</f>
        <v>0</v>
      </c>
      <c r="J21" s="76">
        <f t="shared" si="0"/>
        <v>0</v>
      </c>
      <c r="K21" s="697"/>
    </row>
    <row r="22" spans="1:11" ht="20.100000000000001" customHeight="1" thickBot="1" x14ac:dyDescent="0.25">
      <c r="A22" s="313" t="s">
        <v>30</v>
      </c>
      <c r="B22" s="80" t="s">
        <v>72</v>
      </c>
      <c r="C22" s="523"/>
      <c r="D22" s="634"/>
      <c r="E22" s="81"/>
      <c r="F22" s="82"/>
      <c r="G22" s="28"/>
      <c r="H22" s="28"/>
      <c r="I22" s="25"/>
      <c r="J22" s="314">
        <f t="shared" si="0"/>
        <v>0</v>
      </c>
      <c r="K22" s="697"/>
    </row>
    <row r="23" spans="1:11" ht="20.100000000000001" customHeight="1" thickBot="1" x14ac:dyDescent="0.25">
      <c r="A23" s="311" t="s">
        <v>31</v>
      </c>
      <c r="B23" s="312" t="s">
        <v>206</v>
      </c>
      <c r="C23" s="524"/>
      <c r="D23" s="635"/>
      <c r="E23" s="76">
        <f>+E24</f>
        <v>0</v>
      </c>
      <c r="F23" s="77">
        <f>+F24</f>
        <v>0</v>
      </c>
      <c r="G23" s="78">
        <f>+G24</f>
        <v>0</v>
      </c>
      <c r="H23" s="78">
        <f>+H24</f>
        <v>0</v>
      </c>
      <c r="I23" s="79">
        <f>+I24</f>
        <v>0</v>
      </c>
      <c r="J23" s="76">
        <f t="shared" si="0"/>
        <v>0</v>
      </c>
      <c r="K23" s="697"/>
    </row>
    <row r="24" spans="1:11" ht="20.100000000000001" customHeight="1" thickBot="1" x14ac:dyDescent="0.25">
      <c r="A24" s="315" t="s">
        <v>32</v>
      </c>
      <c r="B24" s="83" t="s">
        <v>72</v>
      </c>
      <c r="C24" s="525"/>
      <c r="D24" s="637"/>
      <c r="E24" s="84"/>
      <c r="F24" s="85"/>
      <c r="G24" s="29"/>
      <c r="H24" s="29"/>
      <c r="I24" s="27"/>
      <c r="J24" s="316">
        <f t="shared" si="0"/>
        <v>0</v>
      </c>
      <c r="K24" s="697"/>
    </row>
    <row r="25" spans="1:11" ht="20.100000000000001" customHeight="1" thickBot="1" x14ac:dyDescent="0.25">
      <c r="A25" s="311" t="s">
        <v>33</v>
      </c>
      <c r="B25" s="317" t="s">
        <v>207</v>
      </c>
      <c r="C25" s="524"/>
      <c r="D25" s="635"/>
      <c r="E25" s="76">
        <f>+E26</f>
        <v>0</v>
      </c>
      <c r="F25" s="77">
        <f>+F26</f>
        <v>0</v>
      </c>
      <c r="G25" s="78">
        <f>+G26</f>
        <v>0</v>
      </c>
      <c r="H25" s="78">
        <f>+H26</f>
        <v>0</v>
      </c>
      <c r="I25" s="79">
        <f>+I26</f>
        <v>0</v>
      </c>
      <c r="J25" s="76">
        <f t="shared" si="0"/>
        <v>0</v>
      </c>
      <c r="K25" s="697"/>
    </row>
    <row r="26" spans="1:11" ht="20.100000000000001" customHeight="1" thickBot="1" x14ac:dyDescent="0.25">
      <c r="A26" s="318" t="s">
        <v>34</v>
      </c>
      <c r="B26" s="86" t="s">
        <v>72</v>
      </c>
      <c r="C26" s="526"/>
      <c r="D26" s="636"/>
      <c r="E26" s="87"/>
      <c r="F26" s="88"/>
      <c r="G26" s="89"/>
      <c r="H26" s="89"/>
      <c r="I26" s="26"/>
      <c r="J26" s="319">
        <f t="shared" si="0"/>
        <v>0</v>
      </c>
      <c r="K26" s="697"/>
    </row>
    <row r="27" spans="1:11" ht="20.100000000000001" customHeight="1" thickBot="1" x14ac:dyDescent="0.25">
      <c r="A27" s="699" t="s">
        <v>696</v>
      </c>
      <c r="B27" s="700"/>
      <c r="C27" s="146"/>
      <c r="D27" s="638"/>
      <c r="E27" s="76">
        <f t="shared" ref="E27:J27" si="1">+E6+E9+E21+E23+E25</f>
        <v>7406</v>
      </c>
      <c r="F27" s="77">
        <f t="shared" si="1"/>
        <v>6351</v>
      </c>
      <c r="G27" s="78">
        <f t="shared" si="1"/>
        <v>8601</v>
      </c>
      <c r="H27" s="78">
        <f t="shared" si="1"/>
        <v>10849</v>
      </c>
      <c r="I27" s="79">
        <f t="shared" si="1"/>
        <v>54063</v>
      </c>
      <c r="J27" s="76">
        <f t="shared" si="1"/>
        <v>87270</v>
      </c>
      <c r="K27" s="697"/>
    </row>
  </sheetData>
  <mergeCells count="10">
    <mergeCell ref="K7:K27"/>
    <mergeCell ref="A1:J1"/>
    <mergeCell ref="A27:B27"/>
    <mergeCell ref="J3:J4"/>
    <mergeCell ref="F3:I3"/>
    <mergeCell ref="A3:A4"/>
    <mergeCell ref="B3:B4"/>
    <mergeCell ref="C3:C4"/>
    <mergeCell ref="E3:E4"/>
    <mergeCell ref="D3:D4"/>
  </mergeCells>
  <phoneticPr fontId="0" type="noConversion"/>
  <printOptions horizontalCentered="1"/>
  <pageMargins left="0.78740157480314965" right="0.78740157480314965" top="1.03" bottom="0.98425196850393704" header="0.78740157480314965" footer="0.78740157480314965"/>
  <pageSetup paperSize="9" scale="78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34"/>
  <sheetViews>
    <sheetView view="pageLayout" topLeftCell="A13" zoomScaleNormal="100" workbookViewId="0">
      <selection activeCell="D6" sqref="D6"/>
    </sheetView>
  </sheetViews>
  <sheetFormatPr defaultRowHeight="12.75" x14ac:dyDescent="0.2"/>
  <cols>
    <col min="1" max="1" width="5.83203125" style="103" customWidth="1"/>
    <col min="2" max="2" width="54.83203125" style="3" customWidth="1"/>
    <col min="3" max="4" width="17.6640625" style="3" customWidth="1"/>
    <col min="5" max="16384" width="9.33203125" style="3"/>
  </cols>
  <sheetData>
    <row r="1" spans="1:4" ht="31.5" customHeight="1" x14ac:dyDescent="0.25">
      <c r="B1" s="711" t="s">
        <v>650</v>
      </c>
      <c r="C1" s="711"/>
      <c r="D1" s="711"/>
    </row>
    <row r="2" spans="1:4" s="91" customFormat="1" ht="16.5" thickBot="1" x14ac:dyDescent="0.3">
      <c r="A2" s="90"/>
      <c r="B2" s="415"/>
      <c r="D2" s="49" t="s">
        <v>578</v>
      </c>
    </row>
    <row r="3" spans="1:4" s="93" customFormat="1" ht="48" customHeight="1" thickBot="1" x14ac:dyDescent="0.25">
      <c r="A3" s="92" t="s">
        <v>16</v>
      </c>
      <c r="B3" s="221" t="s">
        <v>17</v>
      </c>
      <c r="C3" s="221" t="s">
        <v>73</v>
      </c>
      <c r="D3" s="222" t="s">
        <v>74</v>
      </c>
    </row>
    <row r="4" spans="1:4" s="93" customFormat="1" ht="14.1" customHeight="1" thickBot="1" x14ac:dyDescent="0.25">
      <c r="A4" s="40" t="s">
        <v>496</v>
      </c>
      <c r="B4" s="224" t="s">
        <v>497</v>
      </c>
      <c r="C4" s="224" t="s">
        <v>498</v>
      </c>
      <c r="D4" s="225" t="s">
        <v>500</v>
      </c>
    </row>
    <row r="5" spans="1:4" ht="18" customHeight="1" x14ac:dyDescent="0.2">
      <c r="A5" s="159" t="s">
        <v>18</v>
      </c>
      <c r="B5" s="609" t="s">
        <v>165</v>
      </c>
      <c r="C5" s="610">
        <v>440300</v>
      </c>
      <c r="D5" s="611">
        <v>440300</v>
      </c>
    </row>
    <row r="6" spans="1:4" ht="18" customHeight="1" x14ac:dyDescent="0.2">
      <c r="A6" s="95" t="s">
        <v>19</v>
      </c>
      <c r="B6" s="226" t="s">
        <v>166</v>
      </c>
      <c r="C6" s="158"/>
      <c r="D6" s="97"/>
    </row>
    <row r="7" spans="1:4" ht="18" customHeight="1" x14ac:dyDescent="0.2">
      <c r="A7" s="95" t="s">
        <v>20</v>
      </c>
      <c r="B7" s="226" t="s">
        <v>122</v>
      </c>
      <c r="C7" s="158"/>
      <c r="D7" s="97"/>
    </row>
    <row r="8" spans="1:4" ht="18" customHeight="1" x14ac:dyDescent="0.2">
      <c r="A8" s="95" t="s">
        <v>21</v>
      </c>
      <c r="B8" s="226" t="s">
        <v>123</v>
      </c>
      <c r="C8" s="158"/>
      <c r="D8" s="97"/>
    </row>
    <row r="9" spans="1:4" ht="18" customHeight="1" x14ac:dyDescent="0.2">
      <c r="A9" s="95" t="s">
        <v>22</v>
      </c>
      <c r="B9" s="226" t="s">
        <v>161</v>
      </c>
      <c r="C9" s="158">
        <f>C11+C10+C18</f>
        <v>8174000</v>
      </c>
      <c r="D9" s="612">
        <f>D11+D10+D18</f>
        <v>4646000</v>
      </c>
    </row>
    <row r="10" spans="1:4" ht="18" customHeight="1" x14ac:dyDescent="0.2">
      <c r="A10" s="95" t="s">
        <v>23</v>
      </c>
      <c r="B10" s="226" t="s">
        <v>162</v>
      </c>
      <c r="C10" s="158"/>
      <c r="D10" s="97"/>
    </row>
    <row r="11" spans="1:4" ht="18" customHeight="1" x14ac:dyDescent="0.2">
      <c r="A11" s="95" t="s">
        <v>24</v>
      </c>
      <c r="B11" s="227" t="s">
        <v>163</v>
      </c>
      <c r="C11" s="158">
        <v>7074000</v>
      </c>
      <c r="D11" s="612">
        <v>3546000</v>
      </c>
    </row>
    <row r="12" spans="1:4" ht="27.75" customHeight="1" x14ac:dyDescent="0.2">
      <c r="A12" s="95" t="s">
        <v>26</v>
      </c>
      <c r="B12" s="227" t="s">
        <v>655</v>
      </c>
      <c r="C12" s="158">
        <v>3006000</v>
      </c>
      <c r="D12" s="97">
        <v>1503000</v>
      </c>
    </row>
    <row r="13" spans="1:4" ht="27" customHeight="1" x14ac:dyDescent="0.2">
      <c r="A13" s="95" t="s">
        <v>27</v>
      </c>
      <c r="B13" s="227" t="s">
        <v>656</v>
      </c>
      <c r="C13" s="158">
        <v>1755000</v>
      </c>
      <c r="D13" s="97">
        <v>877500</v>
      </c>
    </row>
    <row r="14" spans="1:4" ht="28.5" customHeight="1" x14ac:dyDescent="0.2">
      <c r="A14" s="95" t="s">
        <v>28</v>
      </c>
      <c r="B14" s="227" t="s">
        <v>657</v>
      </c>
      <c r="C14" s="158">
        <v>1332000</v>
      </c>
      <c r="D14" s="97">
        <v>666000</v>
      </c>
    </row>
    <row r="15" spans="1:4" ht="28.5" customHeight="1" x14ac:dyDescent="0.2">
      <c r="A15" s="95"/>
      <c r="B15" s="227" t="s">
        <v>580</v>
      </c>
      <c r="C15" s="158">
        <v>18000</v>
      </c>
      <c r="D15" s="97">
        <v>18000</v>
      </c>
    </row>
    <row r="16" spans="1:4" ht="28.5" customHeight="1" x14ac:dyDescent="0.2">
      <c r="A16" s="95"/>
      <c r="B16" s="227" t="s">
        <v>581</v>
      </c>
      <c r="C16" s="158">
        <v>450000</v>
      </c>
      <c r="D16" s="97">
        <v>225000</v>
      </c>
    </row>
    <row r="17" spans="1:4" ht="28.5" customHeight="1" x14ac:dyDescent="0.2">
      <c r="A17" s="95"/>
      <c r="B17" s="227" t="s">
        <v>582</v>
      </c>
      <c r="C17" s="158">
        <v>513000</v>
      </c>
      <c r="D17" s="97">
        <v>256500</v>
      </c>
    </row>
    <row r="18" spans="1:4" ht="22.5" customHeight="1" x14ac:dyDescent="0.2">
      <c r="A18" s="95" t="s">
        <v>29</v>
      </c>
      <c r="B18" s="227" t="s">
        <v>164</v>
      </c>
      <c r="C18" s="158">
        <v>1100000</v>
      </c>
      <c r="D18" s="97">
        <v>1100000</v>
      </c>
    </row>
    <row r="19" spans="1:4" ht="18" customHeight="1" x14ac:dyDescent="0.2">
      <c r="A19" s="95" t="s">
        <v>30</v>
      </c>
      <c r="B19" s="226" t="s">
        <v>124</v>
      </c>
      <c r="C19" s="158"/>
      <c r="D19" s="97"/>
    </row>
    <row r="20" spans="1:4" ht="18" customHeight="1" x14ac:dyDescent="0.2">
      <c r="A20" s="95" t="s">
        <v>31</v>
      </c>
      <c r="B20" s="226" t="s">
        <v>8</v>
      </c>
      <c r="C20" s="158"/>
      <c r="D20" s="97"/>
    </row>
    <row r="21" spans="1:4" ht="18" customHeight="1" x14ac:dyDescent="0.2">
      <c r="A21" s="95" t="s">
        <v>32</v>
      </c>
      <c r="B21" s="226" t="s">
        <v>7</v>
      </c>
      <c r="C21" s="158"/>
      <c r="D21" s="97"/>
    </row>
    <row r="22" spans="1:4" ht="18" customHeight="1" x14ac:dyDescent="0.2">
      <c r="A22" s="95" t="s">
        <v>33</v>
      </c>
      <c r="B22" s="226" t="s">
        <v>125</v>
      </c>
      <c r="C22" s="158"/>
      <c r="D22" s="97"/>
    </row>
    <row r="23" spans="1:4" ht="18" customHeight="1" x14ac:dyDescent="0.2">
      <c r="A23" s="95" t="s">
        <v>34</v>
      </c>
      <c r="B23" s="226" t="s">
        <v>126</v>
      </c>
      <c r="C23" s="158"/>
      <c r="D23" s="97"/>
    </row>
    <row r="24" spans="1:4" ht="18" customHeight="1" x14ac:dyDescent="0.2">
      <c r="A24" s="95" t="s">
        <v>35</v>
      </c>
      <c r="B24" s="149"/>
      <c r="C24" s="96"/>
      <c r="D24" s="97"/>
    </row>
    <row r="25" spans="1:4" ht="18" customHeight="1" x14ac:dyDescent="0.2">
      <c r="A25" s="95" t="s">
        <v>36</v>
      </c>
      <c r="B25" s="98"/>
      <c r="C25" s="96"/>
      <c r="D25" s="97"/>
    </row>
    <row r="26" spans="1:4" ht="18" customHeight="1" x14ac:dyDescent="0.2">
      <c r="A26" s="95" t="s">
        <v>37</v>
      </c>
      <c r="B26" s="98"/>
      <c r="C26" s="96"/>
      <c r="D26" s="97"/>
    </row>
    <row r="27" spans="1:4" ht="18" customHeight="1" x14ac:dyDescent="0.2">
      <c r="A27" s="95" t="s">
        <v>38</v>
      </c>
      <c r="B27" s="98"/>
      <c r="C27" s="96"/>
      <c r="D27" s="97"/>
    </row>
    <row r="28" spans="1:4" ht="18" customHeight="1" x14ac:dyDescent="0.2">
      <c r="A28" s="95" t="s">
        <v>39</v>
      </c>
      <c r="B28" s="98"/>
      <c r="C28" s="96"/>
      <c r="D28" s="97"/>
    </row>
    <row r="29" spans="1:4" ht="18" customHeight="1" x14ac:dyDescent="0.2">
      <c r="A29" s="95" t="s">
        <v>40</v>
      </c>
      <c r="B29" s="98"/>
      <c r="C29" s="96"/>
      <c r="D29" s="97"/>
    </row>
    <row r="30" spans="1:4" ht="18" customHeight="1" x14ac:dyDescent="0.2">
      <c r="A30" s="95" t="s">
        <v>41</v>
      </c>
      <c r="B30" s="98"/>
      <c r="C30" s="96"/>
      <c r="D30" s="97"/>
    </row>
    <row r="31" spans="1:4" ht="18" customHeight="1" x14ac:dyDescent="0.2">
      <c r="A31" s="95" t="s">
        <v>42</v>
      </c>
      <c r="B31" s="98"/>
      <c r="C31" s="96"/>
      <c r="D31" s="97"/>
    </row>
    <row r="32" spans="1:4" ht="18" customHeight="1" thickBot="1" x14ac:dyDescent="0.25">
      <c r="A32" s="613" t="s">
        <v>43</v>
      </c>
      <c r="B32" s="99"/>
      <c r="C32" s="100"/>
      <c r="D32" s="101"/>
    </row>
    <row r="33" spans="1:4" ht="18" customHeight="1" thickBot="1" x14ac:dyDescent="0.25">
      <c r="A33" s="41" t="s">
        <v>44</v>
      </c>
      <c r="B33" s="231" t="s">
        <v>53</v>
      </c>
      <c r="C33" s="232">
        <f>+C5+C6+C7+C8+C9+C19+C20+C21+C22+C23+C24+C25+C26+C27+C28+C29+C30+C31+C32</f>
        <v>8614300</v>
      </c>
      <c r="D33" s="233">
        <f>+D5+D6+D7+D8+D9+D19+D20+D21+D22+D23+D24+D25+D26+D27+D28+D29+D30+D31+D32</f>
        <v>5086300</v>
      </c>
    </row>
    <row r="34" spans="1:4" ht="8.25" customHeight="1" x14ac:dyDescent="0.2">
      <c r="A34" s="102"/>
      <c r="B34" s="710"/>
      <c r="C34" s="710"/>
      <c r="D34" s="710"/>
    </row>
  </sheetData>
  <mergeCells count="2">
    <mergeCell ref="B34:D34"/>
    <mergeCell ref="B1:D1"/>
  </mergeCells>
  <phoneticPr fontId="30" type="noConversion"/>
  <printOptions horizontalCentered="1"/>
  <pageMargins left="0.78740157480314965" right="0.78740157480314965" top="1.06" bottom="0.98425196850393704" header="0.78740157480314965" footer="0.78740157480314965"/>
  <pageSetup paperSize="9" scale="95" orientation="portrait" horizontalDpi="300" verticalDpi="300" r:id="rId1"/>
  <headerFooter alignWithMargins="0">
    <oddHeader>&amp;R&amp;"Times New Roman CE,Dőlt"&amp;11 &amp;"Times New Roman CE,Félkövér dőlt"3. tájékoztató tábla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5">
    <tabColor rgb="FF92D050"/>
  </sheetPr>
  <dimension ref="A1:O81"/>
  <sheetViews>
    <sheetView view="pageLayout" topLeftCell="B10" zoomScaleNormal="100" workbookViewId="0">
      <selection activeCell="O5" sqref="O5"/>
    </sheetView>
  </sheetViews>
  <sheetFormatPr defaultRowHeight="15.75" x14ac:dyDescent="0.25"/>
  <cols>
    <col min="1" max="1" width="4.83203125" style="121" customWidth="1"/>
    <col min="2" max="2" width="31.1640625" style="137" customWidth="1"/>
    <col min="3" max="3" width="11.1640625" style="137" customWidth="1"/>
    <col min="4" max="4" width="10.5" style="137" customWidth="1"/>
    <col min="5" max="5" width="10.83203125" style="137" customWidth="1"/>
    <col min="6" max="6" width="11.33203125" style="137" customWidth="1"/>
    <col min="7" max="7" width="11" style="137" customWidth="1"/>
    <col min="8" max="9" width="10.83203125" style="137" customWidth="1"/>
    <col min="10" max="10" width="11.33203125" style="137" customWidth="1"/>
    <col min="11" max="11" width="11.1640625" style="137" customWidth="1"/>
    <col min="12" max="12" width="11.5" style="137" customWidth="1"/>
    <col min="13" max="14" width="12" style="137" customWidth="1"/>
    <col min="15" max="15" width="12.6640625" style="121" customWidth="1"/>
    <col min="16" max="16384" width="9.33203125" style="137"/>
  </cols>
  <sheetData>
    <row r="1" spans="1:15" ht="31.5" customHeight="1" x14ac:dyDescent="0.25">
      <c r="A1" s="718" t="str">
        <f>+CONCATENATE("Előirányzat-felhasználási terv",CHAR(10),LEFT(ÖSSZEFÜGGÉSEK!A5,4),". évre")</f>
        <v>Előirányzat-felhasználási terv
2017. évre</v>
      </c>
      <c r="B1" s="719"/>
      <c r="C1" s="719"/>
      <c r="D1" s="719"/>
      <c r="E1" s="719"/>
      <c r="F1" s="719"/>
      <c r="G1" s="719"/>
      <c r="H1" s="719"/>
      <c r="I1" s="719"/>
      <c r="J1" s="719"/>
      <c r="K1" s="719"/>
      <c r="L1" s="719"/>
      <c r="M1" s="719"/>
      <c r="N1" s="719"/>
      <c r="O1" s="719"/>
    </row>
    <row r="2" spans="1:15" ht="16.5" thickBot="1" x14ac:dyDescent="0.3">
      <c r="O2" s="4" t="s">
        <v>55</v>
      </c>
    </row>
    <row r="3" spans="1:15" s="121" customFormat="1" ht="26.1" customHeight="1" thickBot="1" x14ac:dyDescent="0.3">
      <c r="A3" s="118" t="s">
        <v>16</v>
      </c>
      <c r="B3" s="119" t="s">
        <v>63</v>
      </c>
      <c r="C3" s="119" t="s">
        <v>75</v>
      </c>
      <c r="D3" s="119" t="s">
        <v>76</v>
      </c>
      <c r="E3" s="119" t="s">
        <v>77</v>
      </c>
      <c r="F3" s="119" t="s">
        <v>78</v>
      </c>
      <c r="G3" s="119" t="s">
        <v>79</v>
      </c>
      <c r="H3" s="119" t="s">
        <v>80</v>
      </c>
      <c r="I3" s="119" t="s">
        <v>81</v>
      </c>
      <c r="J3" s="119" t="s">
        <v>82</v>
      </c>
      <c r="K3" s="119" t="s">
        <v>83</v>
      </c>
      <c r="L3" s="119" t="s">
        <v>84</v>
      </c>
      <c r="M3" s="119" t="s">
        <v>85</v>
      </c>
      <c r="N3" s="119" t="s">
        <v>86</v>
      </c>
      <c r="O3" s="120" t="s">
        <v>53</v>
      </c>
    </row>
    <row r="4" spans="1:15" s="123" customFormat="1" ht="15" customHeight="1" thickBot="1" x14ac:dyDescent="0.25">
      <c r="A4" s="594" t="s">
        <v>18</v>
      </c>
      <c r="B4" s="712" t="s">
        <v>57</v>
      </c>
      <c r="C4" s="713"/>
      <c r="D4" s="713"/>
      <c r="E4" s="713"/>
      <c r="F4" s="713"/>
      <c r="G4" s="713"/>
      <c r="H4" s="713"/>
      <c r="I4" s="713"/>
      <c r="J4" s="713"/>
      <c r="K4" s="713"/>
      <c r="L4" s="713"/>
      <c r="M4" s="713"/>
      <c r="N4" s="713"/>
      <c r="O4" s="714"/>
    </row>
    <row r="5" spans="1:15" s="123" customFormat="1" ht="22.5" x14ac:dyDescent="0.2">
      <c r="A5" s="594" t="s">
        <v>19</v>
      </c>
      <c r="B5" s="595" t="s">
        <v>377</v>
      </c>
      <c r="C5" s="598">
        <f>O5/12</f>
        <v>43181285.916666664</v>
      </c>
      <c r="D5" s="596">
        <f t="shared" ref="D5:N5" si="0">$O$5/12</f>
        <v>43181285.916666664</v>
      </c>
      <c r="E5" s="596">
        <f t="shared" si="0"/>
        <v>43181285.916666664</v>
      </c>
      <c r="F5" s="596">
        <f t="shared" si="0"/>
        <v>43181285.916666664</v>
      </c>
      <c r="G5" s="596">
        <f t="shared" si="0"/>
        <v>43181285.916666664</v>
      </c>
      <c r="H5" s="596">
        <f t="shared" si="0"/>
        <v>43181285.916666664</v>
      </c>
      <c r="I5" s="596">
        <f t="shared" si="0"/>
        <v>43181285.916666664</v>
      </c>
      <c r="J5" s="596">
        <f t="shared" si="0"/>
        <v>43181285.916666664</v>
      </c>
      <c r="K5" s="596">
        <f t="shared" si="0"/>
        <v>43181285.916666664</v>
      </c>
      <c r="L5" s="596">
        <f t="shared" si="0"/>
        <v>43181285.916666664</v>
      </c>
      <c r="M5" s="596">
        <f t="shared" si="0"/>
        <v>43181285.916666664</v>
      </c>
      <c r="N5" s="596">
        <f t="shared" si="0"/>
        <v>43181285.916666664</v>
      </c>
      <c r="O5" s="597">
        <f>'9.1. sz. mell ÖNK'!C8</f>
        <v>518175431</v>
      </c>
    </row>
    <row r="6" spans="1:15" s="128" customFormat="1" ht="22.5" x14ac:dyDescent="0.2">
      <c r="A6" s="125" t="s">
        <v>20</v>
      </c>
      <c r="B6" s="322" t="s">
        <v>423</v>
      </c>
      <c r="C6" s="126">
        <f t="shared" ref="C6:C13" si="1">O6/12</f>
        <v>42564311.75</v>
      </c>
      <c r="D6" s="126">
        <f>$O$6/12</f>
        <v>42564311.75</v>
      </c>
      <c r="E6" s="126">
        <f t="shared" ref="E6:N6" si="2">$O$6/12</f>
        <v>42564311.75</v>
      </c>
      <c r="F6" s="126">
        <f t="shared" si="2"/>
        <v>42564311.75</v>
      </c>
      <c r="G6" s="126">
        <f t="shared" si="2"/>
        <v>42564311.75</v>
      </c>
      <c r="H6" s="126">
        <f t="shared" si="2"/>
        <v>42564311.75</v>
      </c>
      <c r="I6" s="126">
        <f t="shared" si="2"/>
        <v>42564311.75</v>
      </c>
      <c r="J6" s="126">
        <f t="shared" si="2"/>
        <v>42564311.75</v>
      </c>
      <c r="K6" s="126">
        <f t="shared" si="2"/>
        <v>42564311.75</v>
      </c>
      <c r="L6" s="126">
        <f t="shared" si="2"/>
        <v>42564311.75</v>
      </c>
      <c r="M6" s="126">
        <f t="shared" si="2"/>
        <v>42564311.75</v>
      </c>
      <c r="N6" s="126">
        <f t="shared" si="2"/>
        <v>42564311.75</v>
      </c>
      <c r="O6" s="127">
        <f>'9.1. sz. mell ÖNK'!C15</f>
        <v>510771741</v>
      </c>
    </row>
    <row r="7" spans="1:15" s="128" customFormat="1" ht="22.5" x14ac:dyDescent="0.2">
      <c r="A7" s="125" t="s">
        <v>21</v>
      </c>
      <c r="B7" s="321" t="s">
        <v>424</v>
      </c>
      <c r="C7" s="126">
        <f t="shared" si="1"/>
        <v>37153546</v>
      </c>
      <c r="D7" s="129">
        <f>$O$7/12</f>
        <v>37153546</v>
      </c>
      <c r="E7" s="129">
        <f t="shared" ref="E7:N7" si="3">$O$7/12</f>
        <v>37153546</v>
      </c>
      <c r="F7" s="129">
        <f t="shared" si="3"/>
        <v>37153546</v>
      </c>
      <c r="G7" s="129">
        <f t="shared" si="3"/>
        <v>37153546</v>
      </c>
      <c r="H7" s="129">
        <f t="shared" si="3"/>
        <v>37153546</v>
      </c>
      <c r="I7" s="129">
        <f t="shared" si="3"/>
        <v>37153546</v>
      </c>
      <c r="J7" s="129">
        <f t="shared" si="3"/>
        <v>37153546</v>
      </c>
      <c r="K7" s="129">
        <f t="shared" si="3"/>
        <v>37153546</v>
      </c>
      <c r="L7" s="129">
        <f t="shared" si="3"/>
        <v>37153546</v>
      </c>
      <c r="M7" s="129">
        <f t="shared" si="3"/>
        <v>37153546</v>
      </c>
      <c r="N7" s="129">
        <f t="shared" si="3"/>
        <v>37153546</v>
      </c>
      <c r="O7" s="127">
        <f>'9.1. sz. mell ÖNK'!C22</f>
        <v>445842552</v>
      </c>
    </row>
    <row r="8" spans="1:15" s="128" customFormat="1" ht="14.1" customHeight="1" x14ac:dyDescent="0.2">
      <c r="A8" s="125" t="s">
        <v>22</v>
      </c>
      <c r="B8" s="320" t="s">
        <v>172</v>
      </c>
      <c r="C8" s="126">
        <f t="shared" si="1"/>
        <v>8396500</v>
      </c>
      <c r="D8" s="126">
        <f>$O$8/12</f>
        <v>8396500</v>
      </c>
      <c r="E8" s="126">
        <f t="shared" ref="E8:N8" si="4">$O$8/12</f>
        <v>8396500</v>
      </c>
      <c r="F8" s="126">
        <f t="shared" si="4"/>
        <v>8396500</v>
      </c>
      <c r="G8" s="126">
        <f t="shared" si="4"/>
        <v>8396500</v>
      </c>
      <c r="H8" s="126">
        <f t="shared" si="4"/>
        <v>8396500</v>
      </c>
      <c r="I8" s="126">
        <f t="shared" si="4"/>
        <v>8396500</v>
      </c>
      <c r="J8" s="126">
        <f t="shared" si="4"/>
        <v>8396500</v>
      </c>
      <c r="K8" s="126">
        <f t="shared" si="4"/>
        <v>8396500</v>
      </c>
      <c r="L8" s="126">
        <f t="shared" si="4"/>
        <v>8396500</v>
      </c>
      <c r="M8" s="126">
        <f t="shared" si="4"/>
        <v>8396500</v>
      </c>
      <c r="N8" s="126">
        <f t="shared" si="4"/>
        <v>8396500</v>
      </c>
      <c r="O8" s="127">
        <f>'9.1. sz. mell ÖNK'!C29</f>
        <v>100758000</v>
      </c>
    </row>
    <row r="9" spans="1:15" s="128" customFormat="1" ht="14.1" customHeight="1" x14ac:dyDescent="0.2">
      <c r="A9" s="125" t="s">
        <v>23</v>
      </c>
      <c r="B9" s="320" t="s">
        <v>425</v>
      </c>
      <c r="C9" s="126">
        <f t="shared" si="1"/>
        <v>1607421.6666666667</v>
      </c>
      <c r="D9" s="126">
        <f>$O$9/12</f>
        <v>1607421.6666666667</v>
      </c>
      <c r="E9" s="126">
        <f t="shared" ref="E9:N9" si="5">$O$9/12</f>
        <v>1607421.6666666667</v>
      </c>
      <c r="F9" s="126">
        <f t="shared" si="5"/>
        <v>1607421.6666666667</v>
      </c>
      <c r="G9" s="126">
        <f t="shared" si="5"/>
        <v>1607421.6666666667</v>
      </c>
      <c r="H9" s="126">
        <f t="shared" si="5"/>
        <v>1607421.6666666667</v>
      </c>
      <c r="I9" s="126">
        <f t="shared" si="5"/>
        <v>1607421.6666666667</v>
      </c>
      <c r="J9" s="126">
        <f t="shared" si="5"/>
        <v>1607421.6666666667</v>
      </c>
      <c r="K9" s="126">
        <f t="shared" si="5"/>
        <v>1607421.6666666667</v>
      </c>
      <c r="L9" s="126">
        <f t="shared" si="5"/>
        <v>1607421.6666666667</v>
      </c>
      <c r="M9" s="126">
        <f t="shared" si="5"/>
        <v>1607421.6666666667</v>
      </c>
      <c r="N9" s="126">
        <f t="shared" si="5"/>
        <v>1607421.6666666667</v>
      </c>
      <c r="O9" s="127">
        <f>'9.1. sz. mell ÖNK'!C37</f>
        <v>19289060</v>
      </c>
    </row>
    <row r="10" spans="1:15" s="128" customFormat="1" ht="14.1" customHeight="1" x14ac:dyDescent="0.2">
      <c r="A10" s="125" t="s">
        <v>24</v>
      </c>
      <c r="B10" s="320" t="s">
        <v>9</v>
      </c>
      <c r="C10" s="126">
        <f t="shared" si="1"/>
        <v>2848500</v>
      </c>
      <c r="D10" s="126">
        <f>$O$10/12</f>
        <v>2848500</v>
      </c>
      <c r="E10" s="126">
        <f t="shared" ref="E10:N10" si="6">$O$10/12</f>
        <v>2848500</v>
      </c>
      <c r="F10" s="126">
        <f t="shared" si="6"/>
        <v>2848500</v>
      </c>
      <c r="G10" s="126">
        <f t="shared" si="6"/>
        <v>2848500</v>
      </c>
      <c r="H10" s="126">
        <f t="shared" si="6"/>
        <v>2848500</v>
      </c>
      <c r="I10" s="126">
        <f t="shared" si="6"/>
        <v>2848500</v>
      </c>
      <c r="J10" s="126">
        <f t="shared" si="6"/>
        <v>2848500</v>
      </c>
      <c r="K10" s="126">
        <f t="shared" si="6"/>
        <v>2848500</v>
      </c>
      <c r="L10" s="126">
        <f t="shared" si="6"/>
        <v>2848500</v>
      </c>
      <c r="M10" s="126">
        <f t="shared" si="6"/>
        <v>2848500</v>
      </c>
      <c r="N10" s="126">
        <f t="shared" si="6"/>
        <v>2848500</v>
      </c>
      <c r="O10" s="127">
        <f>'9.1. sz. mell ÖNK'!C49</f>
        <v>34182000</v>
      </c>
    </row>
    <row r="11" spans="1:15" s="128" customFormat="1" ht="14.1" customHeight="1" x14ac:dyDescent="0.2">
      <c r="A11" s="125" t="s">
        <v>25</v>
      </c>
      <c r="B11" s="320" t="s">
        <v>379</v>
      </c>
      <c r="C11" s="126">
        <f t="shared" si="1"/>
        <v>0</v>
      </c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7">
        <f>'9.1. sz. mell ÖNK'!C55</f>
        <v>0</v>
      </c>
    </row>
    <row r="12" spans="1:15" s="128" customFormat="1" ht="22.5" x14ac:dyDescent="0.2">
      <c r="A12" s="125" t="s">
        <v>26</v>
      </c>
      <c r="B12" s="322" t="s">
        <v>411</v>
      </c>
      <c r="C12" s="129">
        <f t="shared" si="1"/>
        <v>67500</v>
      </c>
      <c r="D12" s="126">
        <f>$O$12/12</f>
        <v>67500</v>
      </c>
      <c r="E12" s="126">
        <f t="shared" ref="E12:N12" si="7">$O$12/12</f>
        <v>67500</v>
      </c>
      <c r="F12" s="126">
        <f t="shared" si="7"/>
        <v>67500</v>
      </c>
      <c r="G12" s="126">
        <f t="shared" si="7"/>
        <v>67500</v>
      </c>
      <c r="H12" s="126">
        <f t="shared" si="7"/>
        <v>67500</v>
      </c>
      <c r="I12" s="126">
        <f t="shared" si="7"/>
        <v>67500</v>
      </c>
      <c r="J12" s="126">
        <f t="shared" si="7"/>
        <v>67500</v>
      </c>
      <c r="K12" s="126">
        <f t="shared" si="7"/>
        <v>67500</v>
      </c>
      <c r="L12" s="126">
        <f t="shared" si="7"/>
        <v>67500</v>
      </c>
      <c r="M12" s="126">
        <f t="shared" si="7"/>
        <v>67500</v>
      </c>
      <c r="N12" s="126">
        <f t="shared" si="7"/>
        <v>67500</v>
      </c>
      <c r="O12" s="127">
        <f>'9.1. sz. mell ÖNK'!C60</f>
        <v>810000</v>
      </c>
    </row>
    <row r="13" spans="1:15" s="128" customFormat="1" ht="14.1" customHeight="1" thickBot="1" x14ac:dyDescent="0.25">
      <c r="A13" s="599" t="s">
        <v>27</v>
      </c>
      <c r="B13" s="600" t="s">
        <v>10</v>
      </c>
      <c r="C13" s="124">
        <f t="shared" si="1"/>
        <v>18274247.916666668</v>
      </c>
      <c r="D13" s="601">
        <f>$O$13/12</f>
        <v>18274247.916666668</v>
      </c>
      <c r="E13" s="601">
        <f t="shared" ref="E13:N13" si="8">$O$13/12</f>
        <v>18274247.916666668</v>
      </c>
      <c r="F13" s="601">
        <f t="shared" si="8"/>
        <v>18274247.916666668</v>
      </c>
      <c r="G13" s="601">
        <f t="shared" si="8"/>
        <v>18274247.916666668</v>
      </c>
      <c r="H13" s="601">
        <f t="shared" si="8"/>
        <v>18274247.916666668</v>
      </c>
      <c r="I13" s="601">
        <f t="shared" si="8"/>
        <v>18274247.916666668</v>
      </c>
      <c r="J13" s="601">
        <f t="shared" si="8"/>
        <v>18274247.916666668</v>
      </c>
      <c r="K13" s="601">
        <f t="shared" si="8"/>
        <v>18274247.916666668</v>
      </c>
      <c r="L13" s="601">
        <f t="shared" si="8"/>
        <v>18274247.916666668</v>
      </c>
      <c r="M13" s="601">
        <f t="shared" si="8"/>
        <v>18274247.916666668</v>
      </c>
      <c r="N13" s="601">
        <f t="shared" si="8"/>
        <v>18274247.916666668</v>
      </c>
      <c r="O13" s="602">
        <f>'9.1. sz. mell ÖNK'!C89</f>
        <v>219290975</v>
      </c>
    </row>
    <row r="14" spans="1:15" s="123" customFormat="1" ht="15.95" customHeight="1" thickBot="1" x14ac:dyDescent="0.25">
      <c r="A14" s="122" t="s">
        <v>28</v>
      </c>
      <c r="B14" s="42" t="s">
        <v>111</v>
      </c>
      <c r="C14" s="131">
        <f t="shared" ref="C14:N14" si="9">SUM(C5:C13)</f>
        <v>154093313.24999997</v>
      </c>
      <c r="D14" s="131">
        <f t="shared" si="9"/>
        <v>154093313.24999997</v>
      </c>
      <c r="E14" s="131">
        <f t="shared" si="9"/>
        <v>154093313.24999997</v>
      </c>
      <c r="F14" s="131">
        <f t="shared" si="9"/>
        <v>154093313.24999997</v>
      </c>
      <c r="G14" s="131">
        <f t="shared" si="9"/>
        <v>154093313.24999997</v>
      </c>
      <c r="H14" s="131">
        <f t="shared" si="9"/>
        <v>154093313.24999997</v>
      </c>
      <c r="I14" s="131">
        <f t="shared" si="9"/>
        <v>154093313.24999997</v>
      </c>
      <c r="J14" s="131">
        <f t="shared" si="9"/>
        <v>154093313.24999997</v>
      </c>
      <c r="K14" s="131">
        <f t="shared" si="9"/>
        <v>154093313.24999997</v>
      </c>
      <c r="L14" s="131">
        <f t="shared" si="9"/>
        <v>154093313.24999997</v>
      </c>
      <c r="M14" s="131">
        <f t="shared" si="9"/>
        <v>154093313.24999997</v>
      </c>
      <c r="N14" s="131">
        <f t="shared" si="9"/>
        <v>154093313.24999997</v>
      </c>
      <c r="O14" s="132">
        <f>SUM(C14:N14)</f>
        <v>1849119758.9999998</v>
      </c>
    </row>
    <row r="15" spans="1:15" s="123" customFormat="1" ht="15" customHeight="1" thickBot="1" x14ac:dyDescent="0.25">
      <c r="A15" s="122" t="s">
        <v>29</v>
      </c>
      <c r="B15" s="715" t="s">
        <v>58</v>
      </c>
      <c r="C15" s="716"/>
      <c r="D15" s="716"/>
      <c r="E15" s="716"/>
      <c r="F15" s="716"/>
      <c r="G15" s="716"/>
      <c r="H15" s="716"/>
      <c r="I15" s="716"/>
      <c r="J15" s="716"/>
      <c r="K15" s="716"/>
      <c r="L15" s="716"/>
      <c r="M15" s="716"/>
      <c r="N15" s="716"/>
      <c r="O15" s="717"/>
    </row>
    <row r="16" spans="1:15" s="128" customFormat="1" ht="14.1" customHeight="1" x14ac:dyDescent="0.2">
      <c r="A16" s="133" t="s">
        <v>30</v>
      </c>
      <c r="B16" s="323" t="s">
        <v>64</v>
      </c>
      <c r="C16" s="129">
        <f>O16/12</f>
        <v>26689465</v>
      </c>
      <c r="D16" s="129">
        <f>$O$16/12</f>
        <v>26689465</v>
      </c>
      <c r="E16" s="129">
        <f t="shared" ref="E16:N16" si="10">$O$16/12</f>
        <v>26689465</v>
      </c>
      <c r="F16" s="129">
        <f t="shared" si="10"/>
        <v>26689465</v>
      </c>
      <c r="G16" s="129">
        <f t="shared" si="10"/>
        <v>26689465</v>
      </c>
      <c r="H16" s="129">
        <f t="shared" si="10"/>
        <v>26689465</v>
      </c>
      <c r="I16" s="129">
        <f t="shared" si="10"/>
        <v>26689465</v>
      </c>
      <c r="J16" s="129">
        <f t="shared" si="10"/>
        <v>26689465</v>
      </c>
      <c r="K16" s="129">
        <f t="shared" si="10"/>
        <v>26689465</v>
      </c>
      <c r="L16" s="129">
        <f t="shared" si="10"/>
        <v>26689465</v>
      </c>
      <c r="M16" s="129">
        <f t="shared" si="10"/>
        <v>26689465</v>
      </c>
      <c r="N16" s="129">
        <f t="shared" si="10"/>
        <v>26689465</v>
      </c>
      <c r="O16" s="597">
        <f>'9.1. sz. mell ÖNK'!C94</f>
        <v>320273580</v>
      </c>
    </row>
    <row r="17" spans="1:15" s="128" customFormat="1" ht="27" customHeight="1" x14ac:dyDescent="0.2">
      <c r="A17" s="125" t="s">
        <v>31</v>
      </c>
      <c r="B17" s="322" t="s">
        <v>181</v>
      </c>
      <c r="C17" s="129">
        <f t="shared" ref="C17:C24" si="11">O17/12</f>
        <v>3980112.9166666665</v>
      </c>
      <c r="D17" s="126">
        <f>$O$17/12</f>
        <v>3980112.9166666665</v>
      </c>
      <c r="E17" s="126">
        <f t="shared" ref="E17:M17" si="12">$O$17/12</f>
        <v>3980112.9166666665</v>
      </c>
      <c r="F17" s="126">
        <f t="shared" si="12"/>
        <v>3980112.9166666665</v>
      </c>
      <c r="G17" s="126">
        <f t="shared" si="12"/>
        <v>3980112.9166666665</v>
      </c>
      <c r="H17" s="126">
        <f t="shared" si="12"/>
        <v>3980112.9166666665</v>
      </c>
      <c r="I17" s="126">
        <f t="shared" si="12"/>
        <v>3980112.9166666665</v>
      </c>
      <c r="J17" s="126">
        <f t="shared" si="12"/>
        <v>3980112.9166666665</v>
      </c>
      <c r="K17" s="126">
        <f t="shared" si="12"/>
        <v>3980112.9166666665</v>
      </c>
      <c r="L17" s="126">
        <f t="shared" si="12"/>
        <v>3980112.9166666665</v>
      </c>
      <c r="M17" s="126">
        <f t="shared" si="12"/>
        <v>3980112.9166666665</v>
      </c>
      <c r="N17" s="126">
        <f>$O$17/12</f>
        <v>3980112.9166666665</v>
      </c>
      <c r="O17" s="127">
        <f>'9.1. sz. mell ÖNK'!C95</f>
        <v>47761355</v>
      </c>
    </row>
    <row r="18" spans="1:15" s="128" customFormat="1" ht="14.1" customHeight="1" x14ac:dyDescent="0.2">
      <c r="A18" s="125" t="s">
        <v>32</v>
      </c>
      <c r="B18" s="320" t="s">
        <v>142</v>
      </c>
      <c r="C18" s="129">
        <f t="shared" si="11"/>
        <v>26042589.25</v>
      </c>
      <c r="D18" s="126">
        <f>$O$18/12</f>
        <v>26042589.25</v>
      </c>
      <c r="E18" s="126">
        <f t="shared" ref="E18:N18" si="13">$O$18/12</f>
        <v>26042589.25</v>
      </c>
      <c r="F18" s="126">
        <f t="shared" si="13"/>
        <v>26042589.25</v>
      </c>
      <c r="G18" s="126">
        <f t="shared" si="13"/>
        <v>26042589.25</v>
      </c>
      <c r="H18" s="126">
        <f t="shared" si="13"/>
        <v>26042589.25</v>
      </c>
      <c r="I18" s="126">
        <f t="shared" si="13"/>
        <v>26042589.25</v>
      </c>
      <c r="J18" s="126">
        <f t="shared" si="13"/>
        <v>26042589.25</v>
      </c>
      <c r="K18" s="126">
        <f t="shared" si="13"/>
        <v>26042589.25</v>
      </c>
      <c r="L18" s="126">
        <f t="shared" si="13"/>
        <v>26042589.25</v>
      </c>
      <c r="M18" s="126">
        <f t="shared" si="13"/>
        <v>26042589.25</v>
      </c>
      <c r="N18" s="126">
        <f t="shared" si="13"/>
        <v>26042589.25</v>
      </c>
      <c r="O18" s="127">
        <f>'9.1. sz. mell ÖNK'!C96</f>
        <v>312511071</v>
      </c>
    </row>
    <row r="19" spans="1:15" s="128" customFormat="1" ht="14.1" customHeight="1" x14ac:dyDescent="0.2">
      <c r="A19" s="125" t="s">
        <v>33</v>
      </c>
      <c r="B19" s="320" t="s">
        <v>182</v>
      </c>
      <c r="C19" s="129">
        <f t="shared" si="11"/>
        <v>2063333.3333333333</v>
      </c>
      <c r="D19" s="126">
        <f>$O$19/12</f>
        <v>2063333.3333333333</v>
      </c>
      <c r="E19" s="126">
        <f t="shared" ref="E19:N19" si="14">$O$19/12</f>
        <v>2063333.3333333333</v>
      </c>
      <c r="F19" s="126">
        <f t="shared" si="14"/>
        <v>2063333.3333333333</v>
      </c>
      <c r="G19" s="126">
        <f t="shared" si="14"/>
        <v>2063333.3333333333</v>
      </c>
      <c r="H19" s="126">
        <f t="shared" si="14"/>
        <v>2063333.3333333333</v>
      </c>
      <c r="I19" s="126">
        <f t="shared" si="14"/>
        <v>2063333.3333333333</v>
      </c>
      <c r="J19" s="126">
        <f t="shared" si="14"/>
        <v>2063333.3333333333</v>
      </c>
      <c r="K19" s="126">
        <f t="shared" si="14"/>
        <v>2063333.3333333333</v>
      </c>
      <c r="L19" s="126">
        <f t="shared" si="14"/>
        <v>2063333.3333333333</v>
      </c>
      <c r="M19" s="126">
        <f t="shared" si="14"/>
        <v>2063333.3333333333</v>
      </c>
      <c r="N19" s="126">
        <f t="shared" si="14"/>
        <v>2063333.3333333333</v>
      </c>
      <c r="O19" s="127">
        <f>'9.1. sz. mell ÖNK'!C98</f>
        <v>24760000</v>
      </c>
    </row>
    <row r="20" spans="1:15" s="128" customFormat="1" ht="14.1" customHeight="1" x14ac:dyDescent="0.2">
      <c r="A20" s="125" t="s">
        <v>34</v>
      </c>
      <c r="B20" s="320" t="s">
        <v>11</v>
      </c>
      <c r="C20" s="129">
        <f t="shared" si="11"/>
        <v>2609122.9166666665</v>
      </c>
      <c r="D20" s="126">
        <f>$O$20/12</f>
        <v>2609122.9166666665</v>
      </c>
      <c r="E20" s="126">
        <f t="shared" ref="E20:N20" si="15">$O$20/12</f>
        <v>2609122.9166666665</v>
      </c>
      <c r="F20" s="126">
        <f t="shared" si="15"/>
        <v>2609122.9166666665</v>
      </c>
      <c r="G20" s="126">
        <f t="shared" si="15"/>
        <v>2609122.9166666665</v>
      </c>
      <c r="H20" s="126">
        <f t="shared" si="15"/>
        <v>2609122.9166666665</v>
      </c>
      <c r="I20" s="126">
        <f t="shared" si="15"/>
        <v>2609122.9166666665</v>
      </c>
      <c r="J20" s="126">
        <f t="shared" si="15"/>
        <v>2609122.9166666665</v>
      </c>
      <c r="K20" s="126">
        <f t="shared" si="15"/>
        <v>2609122.9166666665</v>
      </c>
      <c r="L20" s="126">
        <f t="shared" si="15"/>
        <v>2609122.9166666665</v>
      </c>
      <c r="M20" s="126">
        <f t="shared" si="15"/>
        <v>2609122.9166666665</v>
      </c>
      <c r="N20" s="126">
        <f t="shared" si="15"/>
        <v>2609122.9166666665</v>
      </c>
      <c r="O20" s="130">
        <f>'9.1. sz. mell ÖNK'!C99</f>
        <v>31309475</v>
      </c>
    </row>
    <row r="21" spans="1:15" s="128" customFormat="1" ht="14.1" customHeight="1" x14ac:dyDescent="0.2">
      <c r="A21" s="125" t="s">
        <v>35</v>
      </c>
      <c r="B21" s="320" t="s">
        <v>226</v>
      </c>
      <c r="C21" s="129">
        <f t="shared" si="11"/>
        <v>45783118.166666664</v>
      </c>
      <c r="D21" s="126">
        <f>$O$21/12</f>
        <v>45783118.166666664</v>
      </c>
      <c r="E21" s="126">
        <f t="shared" ref="E21:N21" si="16">$O$21/12</f>
        <v>45783118.166666664</v>
      </c>
      <c r="F21" s="126">
        <f t="shared" si="16"/>
        <v>45783118.166666664</v>
      </c>
      <c r="G21" s="126">
        <f t="shared" si="16"/>
        <v>45783118.166666664</v>
      </c>
      <c r="H21" s="126">
        <f t="shared" si="16"/>
        <v>45783118.166666664</v>
      </c>
      <c r="I21" s="126">
        <f t="shared" si="16"/>
        <v>45783118.166666664</v>
      </c>
      <c r="J21" s="126">
        <f t="shared" si="16"/>
        <v>45783118.166666664</v>
      </c>
      <c r="K21" s="126">
        <f t="shared" si="16"/>
        <v>45783118.166666664</v>
      </c>
      <c r="L21" s="126">
        <f t="shared" si="16"/>
        <v>45783118.166666664</v>
      </c>
      <c r="M21" s="126">
        <f t="shared" si="16"/>
        <v>45783118.166666664</v>
      </c>
      <c r="N21" s="126">
        <f t="shared" si="16"/>
        <v>45783118.166666664</v>
      </c>
      <c r="O21" s="130">
        <f>'9.1. sz. mell ÖNK'!C116</f>
        <v>549397418</v>
      </c>
    </row>
    <row r="22" spans="1:15" s="128" customFormat="1" x14ac:dyDescent="0.2">
      <c r="A22" s="125" t="s">
        <v>36</v>
      </c>
      <c r="B22" s="322" t="s">
        <v>185</v>
      </c>
      <c r="C22" s="129">
        <f t="shared" si="11"/>
        <v>3808696.6666666665</v>
      </c>
      <c r="D22" s="126">
        <f>$O$22/12</f>
        <v>3808696.6666666665</v>
      </c>
      <c r="E22" s="126">
        <f t="shared" ref="E22:N22" si="17">$O$22/12</f>
        <v>3808696.6666666665</v>
      </c>
      <c r="F22" s="126">
        <f t="shared" si="17"/>
        <v>3808696.6666666665</v>
      </c>
      <c r="G22" s="126">
        <f t="shared" si="17"/>
        <v>3808696.6666666665</v>
      </c>
      <c r="H22" s="126">
        <f t="shared" si="17"/>
        <v>3808696.6666666665</v>
      </c>
      <c r="I22" s="126">
        <f t="shared" si="17"/>
        <v>3808696.6666666665</v>
      </c>
      <c r="J22" s="126">
        <f t="shared" si="17"/>
        <v>3808696.6666666665</v>
      </c>
      <c r="K22" s="126">
        <f t="shared" si="17"/>
        <v>3808696.6666666665</v>
      </c>
      <c r="L22" s="126">
        <f t="shared" si="17"/>
        <v>3808696.6666666665</v>
      </c>
      <c r="M22" s="126">
        <f t="shared" si="17"/>
        <v>3808696.6666666665</v>
      </c>
      <c r="N22" s="126">
        <f t="shared" si="17"/>
        <v>3808696.6666666665</v>
      </c>
      <c r="O22" s="130">
        <f>'9.1. sz. mell ÖNK'!C118</f>
        <v>45704360</v>
      </c>
    </row>
    <row r="23" spans="1:15" s="128" customFormat="1" ht="14.1" customHeight="1" x14ac:dyDescent="0.2">
      <c r="A23" s="125" t="s">
        <v>37</v>
      </c>
      <c r="B23" s="320" t="s">
        <v>229</v>
      </c>
      <c r="C23" s="129">
        <f t="shared" si="11"/>
        <v>0</v>
      </c>
      <c r="D23" s="126">
        <f>$O$23/12</f>
        <v>0</v>
      </c>
      <c r="E23" s="126">
        <f t="shared" ref="E23:N23" si="18">$O$23/12</f>
        <v>0</v>
      </c>
      <c r="F23" s="126">
        <f t="shared" si="18"/>
        <v>0</v>
      </c>
      <c r="G23" s="126">
        <f t="shared" si="18"/>
        <v>0</v>
      </c>
      <c r="H23" s="126">
        <f t="shared" si="18"/>
        <v>0</v>
      </c>
      <c r="I23" s="126">
        <f t="shared" si="18"/>
        <v>0</v>
      </c>
      <c r="J23" s="126">
        <f t="shared" si="18"/>
        <v>0</v>
      </c>
      <c r="K23" s="126">
        <f t="shared" si="18"/>
        <v>0</v>
      </c>
      <c r="L23" s="126">
        <f t="shared" si="18"/>
        <v>0</v>
      </c>
      <c r="M23" s="126">
        <f t="shared" si="18"/>
        <v>0</v>
      </c>
      <c r="N23" s="126">
        <f t="shared" si="18"/>
        <v>0</v>
      </c>
      <c r="O23" s="130">
        <f>'9.1. sz. mell ÖNK'!C120</f>
        <v>0</v>
      </c>
    </row>
    <row r="24" spans="1:15" s="128" customFormat="1" ht="14.1" customHeight="1" thickBot="1" x14ac:dyDescent="0.25">
      <c r="A24" s="125" t="s">
        <v>38</v>
      </c>
      <c r="B24" s="320" t="s">
        <v>12</v>
      </c>
      <c r="C24" s="129">
        <f t="shared" si="11"/>
        <v>42553190.25</v>
      </c>
      <c r="D24" s="126">
        <f>$O$24/12</f>
        <v>42553190.25</v>
      </c>
      <c r="E24" s="126">
        <f t="shared" ref="E24:N24" si="19">$O$24/12</f>
        <v>42553190.25</v>
      </c>
      <c r="F24" s="126">
        <f t="shared" si="19"/>
        <v>42553190.25</v>
      </c>
      <c r="G24" s="126">
        <f t="shared" si="19"/>
        <v>42553190.25</v>
      </c>
      <c r="H24" s="126">
        <f t="shared" si="19"/>
        <v>42553190.25</v>
      </c>
      <c r="I24" s="126">
        <f t="shared" si="19"/>
        <v>42553190.25</v>
      </c>
      <c r="J24" s="126">
        <f t="shared" si="19"/>
        <v>42553190.25</v>
      </c>
      <c r="K24" s="126">
        <f t="shared" si="19"/>
        <v>42553190.25</v>
      </c>
      <c r="L24" s="126">
        <f t="shared" si="19"/>
        <v>42553190.25</v>
      </c>
      <c r="M24" s="126">
        <f t="shared" si="19"/>
        <v>42553190.25</v>
      </c>
      <c r="N24" s="126">
        <f t="shared" si="19"/>
        <v>42553190.25</v>
      </c>
      <c r="O24" s="130">
        <f>'9.1. sz. mell ÖNK'!C155</f>
        <v>510638283</v>
      </c>
    </row>
    <row r="25" spans="1:15" s="123" customFormat="1" ht="15.95" customHeight="1" thickBot="1" x14ac:dyDescent="0.25">
      <c r="A25" s="134" t="s">
        <v>39</v>
      </c>
      <c r="B25" s="42" t="s">
        <v>112</v>
      </c>
      <c r="C25" s="131">
        <f t="shared" ref="C25:N25" si="20">SUM(C16:C24)</f>
        <v>153529628.5</v>
      </c>
      <c r="D25" s="131">
        <f t="shared" si="20"/>
        <v>153529628.5</v>
      </c>
      <c r="E25" s="131">
        <f t="shared" si="20"/>
        <v>153529628.5</v>
      </c>
      <c r="F25" s="131">
        <f t="shared" si="20"/>
        <v>153529628.5</v>
      </c>
      <c r="G25" s="131">
        <f t="shared" si="20"/>
        <v>153529628.5</v>
      </c>
      <c r="H25" s="131">
        <f t="shared" si="20"/>
        <v>153529628.5</v>
      </c>
      <c r="I25" s="131">
        <f t="shared" si="20"/>
        <v>153529628.5</v>
      </c>
      <c r="J25" s="131">
        <f t="shared" si="20"/>
        <v>153529628.5</v>
      </c>
      <c r="K25" s="131">
        <f t="shared" si="20"/>
        <v>153529628.5</v>
      </c>
      <c r="L25" s="131">
        <f t="shared" si="20"/>
        <v>153529628.5</v>
      </c>
      <c r="M25" s="131">
        <f t="shared" si="20"/>
        <v>153529628.5</v>
      </c>
      <c r="N25" s="131">
        <f t="shared" si="20"/>
        <v>153529628.5</v>
      </c>
      <c r="O25" s="132">
        <f>SUM(C25:N25)</f>
        <v>1842355542</v>
      </c>
    </row>
    <row r="26" spans="1:15" ht="16.5" thickBot="1" x14ac:dyDescent="0.3">
      <c r="A26" s="134" t="s">
        <v>40</v>
      </c>
      <c r="B26" s="324" t="s">
        <v>113</v>
      </c>
      <c r="C26" s="135">
        <f t="shared" ref="C26:O26" si="21">C14-C25</f>
        <v>563684.7499999702</v>
      </c>
      <c r="D26" s="135">
        <f t="shared" si="21"/>
        <v>563684.7499999702</v>
      </c>
      <c r="E26" s="135">
        <f t="shared" si="21"/>
        <v>563684.7499999702</v>
      </c>
      <c r="F26" s="135">
        <f t="shared" si="21"/>
        <v>563684.7499999702</v>
      </c>
      <c r="G26" s="135">
        <f t="shared" si="21"/>
        <v>563684.7499999702</v>
      </c>
      <c r="H26" s="135">
        <f t="shared" si="21"/>
        <v>563684.7499999702</v>
      </c>
      <c r="I26" s="135">
        <f t="shared" si="21"/>
        <v>563684.7499999702</v>
      </c>
      <c r="J26" s="135">
        <f t="shared" si="21"/>
        <v>563684.7499999702</v>
      </c>
      <c r="K26" s="135">
        <f t="shared" si="21"/>
        <v>563684.7499999702</v>
      </c>
      <c r="L26" s="135">
        <f t="shared" si="21"/>
        <v>563684.7499999702</v>
      </c>
      <c r="M26" s="135">
        <f t="shared" si="21"/>
        <v>563684.7499999702</v>
      </c>
      <c r="N26" s="135">
        <f t="shared" si="21"/>
        <v>563684.7499999702</v>
      </c>
      <c r="O26" s="136">
        <f t="shared" si="21"/>
        <v>6764216.9999997616</v>
      </c>
    </row>
    <row r="27" spans="1:15" x14ac:dyDescent="0.25">
      <c r="A27" s="138"/>
    </row>
    <row r="28" spans="1:15" x14ac:dyDescent="0.25">
      <c r="B28" s="139"/>
      <c r="C28" s="140"/>
      <c r="D28" s="140"/>
      <c r="O28" s="137"/>
    </row>
    <row r="29" spans="1:15" x14ac:dyDescent="0.25">
      <c r="O29" s="137"/>
    </row>
    <row r="30" spans="1:15" x14ac:dyDescent="0.25">
      <c r="O30" s="137"/>
    </row>
    <row r="31" spans="1:15" x14ac:dyDescent="0.25">
      <c r="O31" s="137"/>
    </row>
    <row r="32" spans="1:15" x14ac:dyDescent="0.25">
      <c r="O32" s="137"/>
    </row>
    <row r="33" spans="15:15" x14ac:dyDescent="0.25">
      <c r="O33" s="137"/>
    </row>
    <row r="34" spans="15:15" x14ac:dyDescent="0.25">
      <c r="O34" s="137"/>
    </row>
    <row r="35" spans="15:15" x14ac:dyDescent="0.25">
      <c r="O35" s="137"/>
    </row>
    <row r="36" spans="15:15" x14ac:dyDescent="0.25">
      <c r="O36" s="137"/>
    </row>
    <row r="37" spans="15:15" x14ac:dyDescent="0.25">
      <c r="O37" s="137"/>
    </row>
    <row r="38" spans="15:15" x14ac:dyDescent="0.25">
      <c r="O38" s="137"/>
    </row>
    <row r="39" spans="15:15" x14ac:dyDescent="0.25">
      <c r="O39" s="137"/>
    </row>
    <row r="40" spans="15:15" x14ac:dyDescent="0.25">
      <c r="O40" s="137"/>
    </row>
    <row r="41" spans="15:15" x14ac:dyDescent="0.25">
      <c r="O41" s="137"/>
    </row>
    <row r="42" spans="15:15" x14ac:dyDescent="0.25">
      <c r="O42" s="137"/>
    </row>
    <row r="43" spans="15:15" x14ac:dyDescent="0.25">
      <c r="O43" s="137"/>
    </row>
    <row r="44" spans="15:15" x14ac:dyDescent="0.25">
      <c r="O44" s="137"/>
    </row>
    <row r="45" spans="15:15" x14ac:dyDescent="0.25">
      <c r="O45" s="137"/>
    </row>
    <row r="46" spans="15:15" x14ac:dyDescent="0.25">
      <c r="O46" s="137"/>
    </row>
    <row r="47" spans="15:15" x14ac:dyDescent="0.25">
      <c r="O47" s="137"/>
    </row>
    <row r="48" spans="15:15" x14ac:dyDescent="0.25">
      <c r="O48" s="137"/>
    </row>
    <row r="49" spans="15:15" x14ac:dyDescent="0.25">
      <c r="O49" s="137"/>
    </row>
    <row r="50" spans="15:15" x14ac:dyDescent="0.25">
      <c r="O50" s="137"/>
    </row>
    <row r="51" spans="15:15" x14ac:dyDescent="0.25">
      <c r="O51" s="137"/>
    </row>
    <row r="52" spans="15:15" x14ac:dyDescent="0.25">
      <c r="O52" s="137"/>
    </row>
    <row r="53" spans="15:15" x14ac:dyDescent="0.25">
      <c r="O53" s="137"/>
    </row>
    <row r="54" spans="15:15" x14ac:dyDescent="0.25">
      <c r="O54" s="137"/>
    </row>
    <row r="55" spans="15:15" x14ac:dyDescent="0.25">
      <c r="O55" s="137"/>
    </row>
    <row r="56" spans="15:15" x14ac:dyDescent="0.25">
      <c r="O56" s="137"/>
    </row>
    <row r="57" spans="15:15" x14ac:dyDescent="0.25">
      <c r="O57" s="137"/>
    </row>
    <row r="58" spans="15:15" x14ac:dyDescent="0.25">
      <c r="O58" s="137"/>
    </row>
    <row r="59" spans="15:15" x14ac:dyDescent="0.25">
      <c r="O59" s="137"/>
    </row>
    <row r="60" spans="15:15" x14ac:dyDescent="0.25">
      <c r="O60" s="137"/>
    </row>
    <row r="61" spans="15:15" x14ac:dyDescent="0.25">
      <c r="O61" s="137"/>
    </row>
    <row r="62" spans="15:15" x14ac:dyDescent="0.25">
      <c r="O62" s="137"/>
    </row>
    <row r="63" spans="15:15" x14ac:dyDescent="0.25">
      <c r="O63" s="137"/>
    </row>
    <row r="64" spans="15:15" x14ac:dyDescent="0.25">
      <c r="O64" s="137"/>
    </row>
    <row r="65" spans="15:15" x14ac:dyDescent="0.25">
      <c r="O65" s="137"/>
    </row>
    <row r="66" spans="15:15" x14ac:dyDescent="0.25">
      <c r="O66" s="137"/>
    </row>
    <row r="67" spans="15:15" x14ac:dyDescent="0.25">
      <c r="O67" s="137"/>
    </row>
    <row r="68" spans="15:15" x14ac:dyDescent="0.25">
      <c r="O68" s="137"/>
    </row>
    <row r="69" spans="15:15" x14ac:dyDescent="0.25">
      <c r="O69" s="137"/>
    </row>
    <row r="70" spans="15:15" x14ac:dyDescent="0.25">
      <c r="O70" s="137"/>
    </row>
    <row r="71" spans="15:15" x14ac:dyDescent="0.25">
      <c r="O71" s="137"/>
    </row>
    <row r="72" spans="15:15" x14ac:dyDescent="0.25">
      <c r="O72" s="137"/>
    </row>
    <row r="73" spans="15:15" x14ac:dyDescent="0.25">
      <c r="O73" s="137"/>
    </row>
    <row r="74" spans="15:15" x14ac:dyDescent="0.25">
      <c r="O74" s="137"/>
    </row>
    <row r="75" spans="15:15" x14ac:dyDescent="0.25">
      <c r="O75" s="137"/>
    </row>
    <row r="76" spans="15:15" x14ac:dyDescent="0.25">
      <c r="O76" s="137"/>
    </row>
    <row r="77" spans="15:15" x14ac:dyDescent="0.25">
      <c r="O77" s="137"/>
    </row>
    <row r="78" spans="15:15" x14ac:dyDescent="0.25">
      <c r="O78" s="137"/>
    </row>
    <row r="79" spans="15:15" x14ac:dyDescent="0.25">
      <c r="O79" s="137"/>
    </row>
    <row r="80" spans="15:15" x14ac:dyDescent="0.25">
      <c r="O80" s="137"/>
    </row>
    <row r="81" spans="15:15" x14ac:dyDescent="0.25">
      <c r="O81" s="137"/>
    </row>
  </sheetData>
  <mergeCells count="3">
    <mergeCell ref="B4:O4"/>
    <mergeCell ref="B15:O15"/>
    <mergeCell ref="A1:O1"/>
  </mergeCells>
  <phoneticPr fontId="0" type="noConversion"/>
  <printOptions horizontalCentered="1"/>
  <pageMargins left="0.78740157480314965" right="0.78740157480314965" top="1.0687500000000001" bottom="0.98425196850393704" header="0.78740157480314965" footer="0.78740157480314965"/>
  <pageSetup paperSize="9" scale="78" orientation="landscape" r:id="rId1"/>
  <headerFooter alignWithMargins="0">
    <oddHeader>&amp;R&amp;"Times New Roman CE,Félkövér dőlt"&amp;11 4. tájékoztató tábla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>
    <tabColor rgb="FF92D050"/>
    <pageSetUpPr fitToPage="1"/>
  </sheetPr>
  <dimension ref="A1:C38"/>
  <sheetViews>
    <sheetView topLeftCell="A7" zoomScaleNormal="100" workbookViewId="0">
      <selection activeCell="B14" sqref="B14"/>
    </sheetView>
  </sheetViews>
  <sheetFormatPr defaultRowHeight="12.75" x14ac:dyDescent="0.2"/>
  <cols>
    <col min="1" max="1" width="88.6640625" style="52" customWidth="1"/>
    <col min="2" max="2" width="27.83203125" style="52" customWidth="1"/>
    <col min="3" max="3" width="3.5" style="52" customWidth="1"/>
    <col min="4" max="16384" width="9.33203125" style="52"/>
  </cols>
  <sheetData>
    <row r="1" spans="1:3" ht="47.25" customHeight="1" x14ac:dyDescent="0.2">
      <c r="A1" s="720" t="str">
        <f>+CONCATENATE("A ",LEFT(ÖSSZEFÜGGÉSEK!A5,4),". évi általános működés és ágazati feladatok támogatásának alakulása jogcímenként")</f>
        <v>A 2017. évi általános működés és ágazati feladatok támogatásának alakulása jogcímenként</v>
      </c>
      <c r="B1" s="720"/>
    </row>
    <row r="2" spans="1:3" ht="22.5" customHeight="1" thickBot="1" x14ac:dyDescent="0.25">
      <c r="A2" s="418"/>
      <c r="B2" s="419" t="s">
        <v>13</v>
      </c>
    </row>
    <row r="3" spans="1:3" s="53" customFormat="1" ht="24" customHeight="1" thickBot="1" x14ac:dyDescent="0.25">
      <c r="A3" s="326" t="s">
        <v>52</v>
      </c>
      <c r="B3" s="417" t="str">
        <f>+CONCATENATE(LEFT(ÖSSZEFÜGGÉSEK!A5,4),". évi támogatás összesen")</f>
        <v>2017. évi támogatás összesen</v>
      </c>
    </row>
    <row r="4" spans="1:3" s="54" customFormat="1" ht="13.5" thickBot="1" x14ac:dyDescent="0.25">
      <c r="A4" s="213" t="s">
        <v>496</v>
      </c>
      <c r="B4" s="214" t="s">
        <v>497</v>
      </c>
    </row>
    <row r="5" spans="1:3" x14ac:dyDescent="0.2">
      <c r="A5" s="141" t="s">
        <v>618</v>
      </c>
      <c r="B5" s="450">
        <v>108912400</v>
      </c>
    </row>
    <row r="6" spans="1:3" ht="12.75" customHeight="1" x14ac:dyDescent="0.2">
      <c r="A6" s="142" t="s">
        <v>619</v>
      </c>
      <c r="B6" s="450">
        <f>SUM(B7:B10)</f>
        <v>39233149</v>
      </c>
    </row>
    <row r="7" spans="1:3" x14ac:dyDescent="0.2">
      <c r="A7" s="142" t="s">
        <v>620</v>
      </c>
      <c r="B7" s="605">
        <v>14160500</v>
      </c>
    </row>
    <row r="8" spans="1:3" x14ac:dyDescent="0.2">
      <c r="A8" s="142" t="s">
        <v>621</v>
      </c>
      <c r="B8" s="605">
        <v>13952000</v>
      </c>
    </row>
    <row r="9" spans="1:3" x14ac:dyDescent="0.2">
      <c r="A9" s="142" t="s">
        <v>622</v>
      </c>
      <c r="B9" s="605">
        <v>2076969</v>
      </c>
    </row>
    <row r="10" spans="1:3" x14ac:dyDescent="0.2">
      <c r="A10" s="142" t="s">
        <v>623</v>
      </c>
      <c r="B10" s="605">
        <v>9043680</v>
      </c>
    </row>
    <row r="11" spans="1:3" x14ac:dyDescent="0.2">
      <c r="A11" s="142" t="s">
        <v>624</v>
      </c>
      <c r="B11" s="450">
        <v>18867600</v>
      </c>
    </row>
    <row r="12" spans="1:3" x14ac:dyDescent="0.2">
      <c r="A12" s="142" t="s">
        <v>625</v>
      </c>
      <c r="B12" s="450">
        <v>15300</v>
      </c>
    </row>
    <row r="13" spans="1:3" x14ac:dyDescent="0.2">
      <c r="A13" s="142" t="s">
        <v>733</v>
      </c>
      <c r="B13" s="450">
        <v>392430</v>
      </c>
    </row>
    <row r="14" spans="1:3" x14ac:dyDescent="0.2">
      <c r="A14" s="142" t="s">
        <v>651</v>
      </c>
      <c r="B14" s="450">
        <v>30065121</v>
      </c>
    </row>
    <row r="15" spans="1:3" x14ac:dyDescent="0.2">
      <c r="A15" s="603" t="s">
        <v>626</v>
      </c>
      <c r="B15" s="606">
        <f>B5+B6+B11+B13+B12+B14</f>
        <v>197486000</v>
      </c>
      <c r="C15" s="721" t="s">
        <v>531</v>
      </c>
    </row>
    <row r="16" spans="1:3" x14ac:dyDescent="0.2">
      <c r="A16" s="142"/>
      <c r="B16" s="450"/>
      <c r="C16" s="721"/>
    </row>
    <row r="17" spans="1:3" x14ac:dyDescent="0.2">
      <c r="A17" s="142" t="s">
        <v>634</v>
      </c>
      <c r="B17" s="604">
        <f>SUM(B18:B22)</f>
        <v>86657417</v>
      </c>
      <c r="C17" s="721"/>
    </row>
    <row r="18" spans="1:3" x14ac:dyDescent="0.2">
      <c r="A18" s="142" t="s">
        <v>627</v>
      </c>
      <c r="B18" s="605">
        <v>44699000</v>
      </c>
      <c r="C18" s="721"/>
    </row>
    <row r="19" spans="1:3" x14ac:dyDescent="0.2">
      <c r="A19" s="142" t="s">
        <v>628</v>
      </c>
      <c r="B19" s="605">
        <v>13200000</v>
      </c>
      <c r="C19" s="721"/>
    </row>
    <row r="20" spans="1:3" x14ac:dyDescent="0.2">
      <c r="A20" s="142" t="s">
        <v>629</v>
      </c>
      <c r="B20" s="605">
        <v>21604517</v>
      </c>
      <c r="C20" s="721"/>
    </row>
    <row r="21" spans="1:3" x14ac:dyDescent="0.2">
      <c r="A21" s="142" t="s">
        <v>630</v>
      </c>
      <c r="B21" s="605">
        <v>6600000</v>
      </c>
      <c r="C21" s="721"/>
    </row>
    <row r="22" spans="1:3" x14ac:dyDescent="0.2">
      <c r="A22" s="142" t="s">
        <v>631</v>
      </c>
      <c r="B22" s="605">
        <v>553900</v>
      </c>
      <c r="C22" s="721"/>
    </row>
    <row r="23" spans="1:3" x14ac:dyDescent="0.2">
      <c r="A23" s="142" t="s">
        <v>635</v>
      </c>
      <c r="B23" s="604">
        <f>SUM(B24:B25)</f>
        <v>13889000</v>
      </c>
      <c r="C23" s="721"/>
    </row>
    <row r="24" spans="1:3" x14ac:dyDescent="0.2">
      <c r="A24" s="142" t="s">
        <v>632</v>
      </c>
      <c r="B24" s="450">
        <v>9368267</v>
      </c>
      <c r="C24" s="721"/>
    </row>
    <row r="25" spans="1:3" x14ac:dyDescent="0.2">
      <c r="A25" s="142" t="s">
        <v>633</v>
      </c>
      <c r="B25" s="450">
        <v>4520733</v>
      </c>
      <c r="C25" s="721"/>
    </row>
    <row r="26" spans="1:3" ht="22.5" x14ac:dyDescent="0.2">
      <c r="A26" s="142" t="s">
        <v>652</v>
      </c>
      <c r="B26" s="604">
        <v>418900</v>
      </c>
      <c r="C26" s="721"/>
    </row>
    <row r="27" spans="1:3" x14ac:dyDescent="0.2">
      <c r="A27" s="603" t="s">
        <v>636</v>
      </c>
      <c r="B27" s="606">
        <f>B17+B23+B26</f>
        <v>100965317</v>
      </c>
      <c r="C27" s="721"/>
    </row>
    <row r="28" spans="1:3" x14ac:dyDescent="0.2">
      <c r="A28" s="603"/>
      <c r="B28" s="450"/>
      <c r="C28" s="721"/>
    </row>
    <row r="29" spans="1:3" x14ac:dyDescent="0.2">
      <c r="A29" s="142" t="s">
        <v>637</v>
      </c>
      <c r="B29" s="450">
        <v>63528000</v>
      </c>
      <c r="C29" s="721"/>
    </row>
    <row r="30" spans="1:3" x14ac:dyDescent="0.2">
      <c r="A30" s="142" t="s">
        <v>638</v>
      </c>
      <c r="B30" s="450">
        <v>12000000</v>
      </c>
      <c r="C30" s="721"/>
    </row>
    <row r="31" spans="1:3" x14ac:dyDescent="0.2">
      <c r="A31" s="142" t="s">
        <v>639</v>
      </c>
      <c r="B31" s="450">
        <v>18000000</v>
      </c>
      <c r="C31" s="721"/>
    </row>
    <row r="32" spans="1:3" x14ac:dyDescent="0.2">
      <c r="A32" s="142" t="s">
        <v>640</v>
      </c>
      <c r="B32" s="450">
        <v>24300480</v>
      </c>
      <c r="C32" s="721"/>
    </row>
    <row r="33" spans="1:3" x14ac:dyDescent="0.2">
      <c r="A33" s="142" t="s">
        <v>641</v>
      </c>
      <c r="B33" s="450">
        <v>49926595</v>
      </c>
      <c r="C33" s="721"/>
    </row>
    <row r="34" spans="1:3" x14ac:dyDescent="0.2">
      <c r="A34" s="143" t="s">
        <v>642</v>
      </c>
      <c r="B34" s="450">
        <v>13496460</v>
      </c>
      <c r="C34" s="721"/>
    </row>
    <row r="35" spans="1:3" ht="21" x14ac:dyDescent="0.2">
      <c r="A35" s="607" t="s">
        <v>643</v>
      </c>
      <c r="B35" s="606">
        <f>SUM(B29:B34)</f>
        <v>181251535</v>
      </c>
      <c r="C35" s="721"/>
    </row>
    <row r="36" spans="1:3" x14ac:dyDescent="0.2">
      <c r="A36" s="143"/>
      <c r="B36" s="450"/>
      <c r="C36" s="721"/>
    </row>
    <row r="37" spans="1:3" ht="21.75" thickBot="1" x14ac:dyDescent="0.25">
      <c r="A37" s="607" t="s">
        <v>644</v>
      </c>
      <c r="B37" s="606">
        <v>7966320</v>
      </c>
      <c r="C37" s="721"/>
    </row>
    <row r="38" spans="1:3" s="56" customFormat="1" ht="19.5" customHeight="1" thickBot="1" x14ac:dyDescent="0.25">
      <c r="A38" s="39" t="s">
        <v>53</v>
      </c>
      <c r="B38" s="55">
        <f>B15+B27+B35+B37</f>
        <v>487669172</v>
      </c>
      <c r="C38" s="721"/>
    </row>
  </sheetData>
  <mergeCells count="2">
    <mergeCell ref="A1:B1"/>
    <mergeCell ref="C15:C38"/>
  </mergeCells>
  <phoneticPr fontId="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8" orientation="landscape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39"/>
  <sheetViews>
    <sheetView zoomScaleNormal="100" workbookViewId="0">
      <selection activeCell="D6" sqref="D6"/>
    </sheetView>
  </sheetViews>
  <sheetFormatPr defaultRowHeight="12.75" x14ac:dyDescent="0.2"/>
  <cols>
    <col min="1" max="1" width="6.6640625" customWidth="1"/>
    <col min="2" max="2" width="43.33203125" customWidth="1"/>
    <col min="3" max="3" width="31.1640625" customWidth="1"/>
    <col min="4" max="4" width="14.83203125" customWidth="1"/>
  </cols>
  <sheetData>
    <row r="1" spans="1:4" ht="45" customHeight="1" x14ac:dyDescent="0.25">
      <c r="A1" s="725" t="str">
        <f>+CONCATENATE("K I M U T A T Á S",CHAR(10),"a ",LEFT(ÖSSZEFÜGGÉSEK!A5,4),". évben céljelleggel juttatott támogatásokról")</f>
        <v>K I M U T A T Á S
a 2017. évben céljelleggel juttatott támogatásokról</v>
      </c>
      <c r="B1" s="725"/>
      <c r="C1" s="725"/>
      <c r="D1" s="725"/>
    </row>
    <row r="2" spans="1:4" ht="17.25" customHeight="1" x14ac:dyDescent="0.25">
      <c r="A2" s="416"/>
      <c r="B2" s="416"/>
      <c r="C2" s="416"/>
      <c r="D2" s="416"/>
    </row>
    <row r="3" spans="1:4" ht="13.5" thickBot="1" x14ac:dyDescent="0.25">
      <c r="A3" s="234"/>
      <c r="B3" s="234"/>
      <c r="C3" s="722" t="s">
        <v>578</v>
      </c>
      <c r="D3" s="722"/>
    </row>
    <row r="4" spans="1:4" ht="42.75" customHeight="1" thickBot="1" x14ac:dyDescent="0.25">
      <c r="A4" s="420" t="s">
        <v>71</v>
      </c>
      <c r="B4" s="421" t="s">
        <v>127</v>
      </c>
      <c r="C4" s="421" t="s">
        <v>128</v>
      </c>
      <c r="D4" s="422" t="s">
        <v>14</v>
      </c>
    </row>
    <row r="5" spans="1:4" ht="29.25" customHeight="1" x14ac:dyDescent="0.2">
      <c r="A5" s="235" t="s">
        <v>18</v>
      </c>
      <c r="B5" s="666" t="s">
        <v>715</v>
      </c>
      <c r="C5" s="584" t="s">
        <v>586</v>
      </c>
      <c r="D5" s="32">
        <v>20000000</v>
      </c>
    </row>
    <row r="6" spans="1:4" ht="15.95" customHeight="1" x14ac:dyDescent="0.2">
      <c r="A6" s="236" t="s">
        <v>19</v>
      </c>
      <c r="B6" s="33" t="s">
        <v>583</v>
      </c>
      <c r="C6" s="33" t="s">
        <v>586</v>
      </c>
      <c r="D6" s="34">
        <v>200000</v>
      </c>
    </row>
    <row r="7" spans="1:4" ht="15.95" customHeight="1" x14ac:dyDescent="0.2">
      <c r="A7" s="236" t="s">
        <v>20</v>
      </c>
      <c r="B7" s="33" t="s">
        <v>584</v>
      </c>
      <c r="C7" s="586" t="s">
        <v>586</v>
      </c>
      <c r="D7" s="34">
        <v>300000</v>
      </c>
    </row>
    <row r="8" spans="1:4" ht="15.95" customHeight="1" x14ac:dyDescent="0.2">
      <c r="A8" s="236" t="s">
        <v>21</v>
      </c>
      <c r="B8" s="33" t="s">
        <v>585</v>
      </c>
      <c r="C8" s="33" t="s">
        <v>586</v>
      </c>
      <c r="D8" s="34">
        <v>100000</v>
      </c>
    </row>
    <row r="9" spans="1:4" ht="15.95" customHeight="1" x14ac:dyDescent="0.2">
      <c r="A9" s="236" t="s">
        <v>22</v>
      </c>
      <c r="B9" s="33" t="s">
        <v>587</v>
      </c>
      <c r="C9" s="585" t="s">
        <v>586</v>
      </c>
      <c r="D9" s="34">
        <v>2600000</v>
      </c>
    </row>
    <row r="10" spans="1:4" ht="15.95" customHeight="1" x14ac:dyDescent="0.2">
      <c r="A10" s="236" t="s">
        <v>23</v>
      </c>
      <c r="B10" s="33" t="s">
        <v>726</v>
      </c>
      <c r="C10" s="585" t="s">
        <v>586</v>
      </c>
      <c r="D10" s="34">
        <v>30000</v>
      </c>
    </row>
    <row r="11" spans="1:4" ht="15.95" customHeight="1" x14ac:dyDescent="0.2">
      <c r="A11" s="236" t="s">
        <v>24</v>
      </c>
      <c r="B11" s="33" t="s">
        <v>727</v>
      </c>
      <c r="C11" s="33" t="s">
        <v>586</v>
      </c>
      <c r="D11" s="34">
        <v>200000</v>
      </c>
    </row>
    <row r="12" spans="1:4" ht="15.95" customHeight="1" x14ac:dyDescent="0.2">
      <c r="A12" s="236" t="s">
        <v>25</v>
      </c>
      <c r="B12" s="33" t="s">
        <v>732</v>
      </c>
      <c r="C12" s="33"/>
      <c r="D12" s="34">
        <v>3870000</v>
      </c>
    </row>
    <row r="13" spans="1:4" ht="15.95" customHeight="1" x14ac:dyDescent="0.2">
      <c r="A13" s="236" t="s">
        <v>26</v>
      </c>
      <c r="B13" s="33"/>
      <c r="C13" s="33"/>
      <c r="D13" s="34"/>
    </row>
    <row r="14" spans="1:4" ht="15.95" customHeight="1" x14ac:dyDescent="0.2">
      <c r="A14" s="236" t="s">
        <v>27</v>
      </c>
      <c r="B14" s="33"/>
      <c r="C14" s="33"/>
      <c r="D14" s="34"/>
    </row>
    <row r="15" spans="1:4" ht="15.95" customHeight="1" x14ac:dyDescent="0.2">
      <c r="A15" s="236" t="s">
        <v>28</v>
      </c>
      <c r="B15" s="33"/>
      <c r="C15" s="33"/>
      <c r="D15" s="34"/>
    </row>
    <row r="16" spans="1:4" ht="15.95" customHeight="1" x14ac:dyDescent="0.2">
      <c r="A16" s="236" t="s">
        <v>29</v>
      </c>
      <c r="B16" s="33"/>
      <c r="C16" s="33"/>
      <c r="D16" s="34"/>
    </row>
    <row r="17" spans="1:4" ht="15.95" customHeight="1" x14ac:dyDescent="0.2">
      <c r="A17" s="236" t="s">
        <v>30</v>
      </c>
      <c r="B17" s="33"/>
      <c r="C17" s="33"/>
      <c r="D17" s="34"/>
    </row>
    <row r="18" spans="1:4" ht="15.95" customHeight="1" x14ac:dyDescent="0.2">
      <c r="A18" s="236" t="s">
        <v>31</v>
      </c>
      <c r="B18" s="33"/>
      <c r="C18" s="33"/>
      <c r="D18" s="34"/>
    </row>
    <row r="19" spans="1:4" ht="15.95" customHeight="1" x14ac:dyDescent="0.2">
      <c r="A19" s="236" t="s">
        <v>32</v>
      </c>
      <c r="B19" s="33"/>
      <c r="C19" s="33"/>
      <c r="D19" s="34"/>
    </row>
    <row r="20" spans="1:4" ht="15.95" customHeight="1" x14ac:dyDescent="0.2">
      <c r="A20" s="236" t="s">
        <v>33</v>
      </c>
      <c r="B20" s="33"/>
      <c r="C20" s="33"/>
      <c r="D20" s="34"/>
    </row>
    <row r="21" spans="1:4" ht="15.95" customHeight="1" x14ac:dyDescent="0.2">
      <c r="A21" s="236" t="s">
        <v>34</v>
      </c>
      <c r="B21" s="33"/>
      <c r="C21" s="33"/>
      <c r="D21" s="34"/>
    </row>
    <row r="22" spans="1:4" ht="15.95" customHeight="1" x14ac:dyDescent="0.2">
      <c r="A22" s="236" t="s">
        <v>35</v>
      </c>
      <c r="B22" s="33"/>
      <c r="C22" s="33"/>
      <c r="D22" s="34"/>
    </row>
    <row r="23" spans="1:4" ht="15.95" customHeight="1" x14ac:dyDescent="0.2">
      <c r="A23" s="236" t="s">
        <v>36</v>
      </c>
      <c r="B23" s="33"/>
      <c r="C23" s="33"/>
      <c r="D23" s="34"/>
    </row>
    <row r="24" spans="1:4" ht="15.95" customHeight="1" x14ac:dyDescent="0.2">
      <c r="A24" s="236" t="s">
        <v>37</v>
      </c>
      <c r="B24" s="33"/>
      <c r="C24" s="33"/>
      <c r="D24" s="34"/>
    </row>
    <row r="25" spans="1:4" ht="15.95" customHeight="1" x14ac:dyDescent="0.2">
      <c r="A25" s="236" t="s">
        <v>38</v>
      </c>
      <c r="B25" s="33"/>
      <c r="C25" s="33"/>
      <c r="D25" s="34"/>
    </row>
    <row r="26" spans="1:4" ht="15.95" customHeight="1" x14ac:dyDescent="0.2">
      <c r="A26" s="236" t="s">
        <v>39</v>
      </c>
      <c r="B26" s="33"/>
      <c r="C26" s="33"/>
      <c r="D26" s="34"/>
    </row>
    <row r="27" spans="1:4" ht="15.95" customHeight="1" x14ac:dyDescent="0.2">
      <c r="A27" s="236" t="s">
        <v>40</v>
      </c>
      <c r="B27" s="33"/>
      <c r="C27" s="33"/>
      <c r="D27" s="34"/>
    </row>
    <row r="28" spans="1:4" ht="15.95" customHeight="1" x14ac:dyDescent="0.2">
      <c r="A28" s="236" t="s">
        <v>41</v>
      </c>
      <c r="B28" s="33"/>
      <c r="C28" s="33"/>
      <c r="D28" s="34"/>
    </row>
    <row r="29" spans="1:4" ht="15.95" customHeight="1" x14ac:dyDescent="0.2">
      <c r="A29" s="236" t="s">
        <v>42</v>
      </c>
      <c r="B29" s="33"/>
      <c r="C29" s="33"/>
      <c r="D29" s="34"/>
    </row>
    <row r="30" spans="1:4" ht="15.95" customHeight="1" x14ac:dyDescent="0.2">
      <c r="A30" s="236" t="s">
        <v>43</v>
      </c>
      <c r="B30" s="33"/>
      <c r="C30" s="33"/>
      <c r="D30" s="34"/>
    </row>
    <row r="31" spans="1:4" ht="15.95" customHeight="1" x14ac:dyDescent="0.2">
      <c r="A31" s="236" t="s">
        <v>44</v>
      </c>
      <c r="B31" s="33"/>
      <c r="C31" s="33"/>
      <c r="D31" s="34"/>
    </row>
    <row r="32" spans="1:4" ht="15.95" customHeight="1" x14ac:dyDescent="0.2">
      <c r="A32" s="236" t="s">
        <v>45</v>
      </c>
      <c r="B32" s="33"/>
      <c r="C32" s="33"/>
      <c r="D32" s="34"/>
    </row>
    <row r="33" spans="1:4" ht="15.95" customHeight="1" x14ac:dyDescent="0.2">
      <c r="A33" s="236" t="s">
        <v>46</v>
      </c>
      <c r="B33" s="33"/>
      <c r="C33" s="33"/>
      <c r="D33" s="34"/>
    </row>
    <row r="34" spans="1:4" ht="15.95" customHeight="1" x14ac:dyDescent="0.2">
      <c r="A34" s="236" t="s">
        <v>129</v>
      </c>
      <c r="B34" s="33"/>
      <c r="C34" s="33"/>
      <c r="D34" s="104"/>
    </row>
    <row r="35" spans="1:4" ht="15.95" customHeight="1" x14ac:dyDescent="0.2">
      <c r="A35" s="236" t="s">
        <v>130</v>
      </c>
      <c r="B35" s="33"/>
      <c r="C35" s="33"/>
      <c r="D35" s="104"/>
    </row>
    <row r="36" spans="1:4" ht="15.95" customHeight="1" x14ac:dyDescent="0.2">
      <c r="A36" s="236" t="s">
        <v>131</v>
      </c>
      <c r="B36" s="33"/>
      <c r="C36" s="33"/>
      <c r="D36" s="104"/>
    </row>
    <row r="37" spans="1:4" ht="15.95" customHeight="1" thickBot="1" x14ac:dyDescent="0.25">
      <c r="A37" s="237" t="s">
        <v>132</v>
      </c>
      <c r="B37" s="35"/>
      <c r="C37" s="35"/>
      <c r="D37" s="105"/>
    </row>
    <row r="38" spans="1:4" ht="15.95" customHeight="1" thickBot="1" x14ac:dyDescent="0.25">
      <c r="A38" s="723" t="s">
        <v>53</v>
      </c>
      <c r="B38" s="724"/>
      <c r="C38" s="238"/>
      <c r="D38" s="239">
        <f>SUM(D5:D37)</f>
        <v>27300000</v>
      </c>
    </row>
    <row r="39" spans="1:4" x14ac:dyDescent="0.2">
      <c r="A39" t="s">
        <v>200</v>
      </c>
    </row>
  </sheetData>
  <mergeCells count="3">
    <mergeCell ref="C3:D3"/>
    <mergeCell ref="A38:B38"/>
    <mergeCell ref="A1:D1"/>
  </mergeCells>
  <phoneticPr fontId="30" type="noConversion"/>
  <conditionalFormatting sqref="D38">
    <cfRule type="cellIs" dxfId="1" priority="1" stopIfTrue="1" operator="equal">
      <formula>0</formula>
    </cfRule>
  </conditionalFormatting>
  <printOptions horizontalCentered="1"/>
  <pageMargins left="0.78740157480314965" right="0.78740157480314965" top="1.06" bottom="0.98425196850393704" header="0.78740157480314965" footer="0.78740157480314965"/>
  <pageSetup paperSize="9" scale="95" orientation="portrait" r:id="rId1"/>
  <headerFooter alignWithMargins="0">
    <oddHeader>&amp;R&amp;"Times New Roman CE,Félkövér dőlt"&amp;11 6. tájékoztató tábla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48"/>
  <sheetViews>
    <sheetView view="pageLayout" zoomScaleNormal="100" zoomScaleSheetLayoutView="100" workbookViewId="0">
      <selection activeCell="E35" sqref="E35"/>
    </sheetView>
  </sheetViews>
  <sheetFormatPr defaultRowHeight="15.75" x14ac:dyDescent="0.25"/>
  <cols>
    <col min="1" max="1" width="9" style="424" customWidth="1"/>
    <col min="2" max="2" width="66.33203125" style="424" bestFit="1" customWidth="1"/>
    <col min="3" max="3" width="15.5" style="425" customWidth="1"/>
    <col min="4" max="5" width="15.5" style="424" customWidth="1"/>
    <col min="6" max="6" width="9" style="458" customWidth="1"/>
    <col min="7" max="16384" width="9.33203125" style="458"/>
  </cols>
  <sheetData>
    <row r="1" spans="1:5" ht="15.95" customHeight="1" x14ac:dyDescent="0.25">
      <c r="A1" s="670" t="s">
        <v>15</v>
      </c>
      <c r="B1" s="670"/>
      <c r="C1" s="670"/>
      <c r="D1" s="670"/>
      <c r="E1" s="670"/>
    </row>
    <row r="2" spans="1:5" ht="15.95" customHeight="1" thickBot="1" x14ac:dyDescent="0.3">
      <c r="A2" s="671" t="s">
        <v>153</v>
      </c>
      <c r="B2" s="671"/>
      <c r="D2" s="165"/>
      <c r="E2" s="342" t="s">
        <v>227</v>
      </c>
    </row>
    <row r="3" spans="1:5" ht="38.1" customHeight="1" thickBot="1" x14ac:dyDescent="0.3">
      <c r="A3" s="23" t="s">
        <v>71</v>
      </c>
      <c r="B3" s="24" t="s">
        <v>17</v>
      </c>
      <c r="C3" s="24" t="str">
        <f>+CONCATENATE(LEFT(ÖSSZEFÜGGÉSEK!A5,4)+1,". évi")</f>
        <v>2018. évi</v>
      </c>
      <c r="D3" s="449" t="str">
        <f>+CONCATENATE(LEFT(ÖSSZEFÜGGÉSEK!A5,4)+2,". évi")</f>
        <v>2019. évi</v>
      </c>
      <c r="E3" s="186" t="str">
        <f>+CONCATENATE(LEFT(ÖSSZEFÜGGÉSEK!A5,4)+3,". évi")</f>
        <v>2020. évi</v>
      </c>
    </row>
    <row r="4" spans="1:5" s="459" customFormat="1" ht="12" customHeight="1" thickBot="1" x14ac:dyDescent="0.25">
      <c r="A4" s="36" t="s">
        <v>496</v>
      </c>
      <c r="B4" s="37" t="s">
        <v>497</v>
      </c>
      <c r="C4" s="37" t="s">
        <v>498</v>
      </c>
      <c r="D4" s="37" t="s">
        <v>500</v>
      </c>
      <c r="E4" s="493" t="s">
        <v>499</v>
      </c>
    </row>
    <row r="5" spans="1:5" s="460" customFormat="1" ht="12" customHeight="1" thickBot="1" x14ac:dyDescent="0.25">
      <c r="A5" s="20" t="s">
        <v>18</v>
      </c>
      <c r="B5" s="21" t="s">
        <v>535</v>
      </c>
      <c r="C5" s="511">
        <v>1190417</v>
      </c>
      <c r="D5" s="511">
        <v>1380884</v>
      </c>
      <c r="E5" s="512">
        <v>1380900</v>
      </c>
    </row>
    <row r="6" spans="1:5" s="460" customFormat="1" ht="12" customHeight="1" thickBot="1" x14ac:dyDescent="0.25">
      <c r="A6" s="20" t="s">
        <v>19</v>
      </c>
      <c r="B6" s="327" t="s">
        <v>378</v>
      </c>
      <c r="C6" s="511">
        <v>103000</v>
      </c>
      <c r="D6" s="511">
        <v>116348</v>
      </c>
      <c r="E6" s="512">
        <v>117150</v>
      </c>
    </row>
    <row r="7" spans="1:5" s="460" customFormat="1" ht="12" customHeight="1" thickBot="1" x14ac:dyDescent="0.25">
      <c r="A7" s="20" t="s">
        <v>20</v>
      </c>
      <c r="B7" s="21" t="s">
        <v>386</v>
      </c>
      <c r="C7" s="511">
        <v>98670</v>
      </c>
      <c r="D7" s="511">
        <v>114457</v>
      </c>
      <c r="E7" s="512">
        <v>114500</v>
      </c>
    </row>
    <row r="8" spans="1:5" s="460" customFormat="1" ht="12" customHeight="1" thickBot="1" x14ac:dyDescent="0.25">
      <c r="A8" s="20" t="s">
        <v>171</v>
      </c>
      <c r="B8" s="21" t="s">
        <v>267</v>
      </c>
      <c r="C8" s="448">
        <v>97011</v>
      </c>
      <c r="D8" s="448">
        <v>97011</v>
      </c>
      <c r="E8" s="492">
        <v>97500</v>
      </c>
    </row>
    <row r="9" spans="1:5" s="460" customFormat="1" ht="12" customHeight="1" x14ac:dyDescent="0.2">
      <c r="A9" s="15" t="s">
        <v>268</v>
      </c>
      <c r="B9" s="461" t="s">
        <v>559</v>
      </c>
      <c r="C9" s="443"/>
      <c r="D9" s="443">
        <f>+D10+D11+D12</f>
        <v>0</v>
      </c>
      <c r="E9" s="300">
        <f>+E10+E11+E12</f>
        <v>0</v>
      </c>
    </row>
    <row r="10" spans="1:5" s="460" customFormat="1" ht="12" customHeight="1" x14ac:dyDescent="0.2">
      <c r="A10" s="14" t="s">
        <v>269</v>
      </c>
      <c r="B10" s="462" t="s">
        <v>560</v>
      </c>
      <c r="C10" s="442"/>
      <c r="D10" s="442"/>
      <c r="E10" s="299"/>
    </row>
    <row r="11" spans="1:5" s="460" customFormat="1" ht="12" customHeight="1" x14ac:dyDescent="0.2">
      <c r="A11" s="14" t="s">
        <v>270</v>
      </c>
      <c r="B11" s="462" t="s">
        <v>561</v>
      </c>
      <c r="C11" s="442"/>
      <c r="D11" s="442"/>
      <c r="E11" s="299"/>
    </row>
    <row r="12" spans="1:5" s="460" customFormat="1" ht="12" customHeight="1" x14ac:dyDescent="0.2">
      <c r="A12" s="14" t="s">
        <v>271</v>
      </c>
      <c r="B12" s="462" t="s">
        <v>562</v>
      </c>
      <c r="C12" s="442"/>
      <c r="D12" s="442"/>
      <c r="E12" s="299"/>
    </row>
    <row r="13" spans="1:5" s="460" customFormat="1" ht="12" customHeight="1" x14ac:dyDescent="0.2">
      <c r="A13" s="14" t="s">
        <v>556</v>
      </c>
      <c r="B13" s="462" t="s">
        <v>272</v>
      </c>
      <c r="C13" s="442"/>
      <c r="D13" s="442"/>
      <c r="E13" s="299"/>
    </row>
    <row r="14" spans="1:5" s="460" customFormat="1" ht="12" customHeight="1" x14ac:dyDescent="0.2">
      <c r="A14" s="14" t="s">
        <v>557</v>
      </c>
      <c r="B14" s="462" t="s">
        <v>273</v>
      </c>
      <c r="C14" s="442"/>
      <c r="D14" s="442"/>
      <c r="E14" s="299"/>
    </row>
    <row r="15" spans="1:5" s="460" customFormat="1" ht="12" customHeight="1" thickBot="1" x14ac:dyDescent="0.25">
      <c r="A15" s="16" t="s">
        <v>558</v>
      </c>
      <c r="B15" s="463" t="s">
        <v>274</v>
      </c>
      <c r="C15" s="444"/>
      <c r="D15" s="444"/>
      <c r="E15" s="301"/>
    </row>
    <row r="16" spans="1:5" s="460" customFormat="1" ht="12" customHeight="1" thickBot="1" x14ac:dyDescent="0.25">
      <c r="A16" s="20" t="s">
        <v>22</v>
      </c>
      <c r="B16" s="21" t="s">
        <v>538</v>
      </c>
      <c r="C16" s="511">
        <v>154866</v>
      </c>
      <c r="D16" s="511">
        <v>179645</v>
      </c>
      <c r="E16" s="512">
        <v>180324</v>
      </c>
    </row>
    <row r="17" spans="1:6" s="460" customFormat="1" ht="12" customHeight="1" thickBot="1" x14ac:dyDescent="0.25">
      <c r="A17" s="20" t="s">
        <v>23</v>
      </c>
      <c r="B17" s="21" t="s">
        <v>9</v>
      </c>
      <c r="C17" s="511">
        <v>18000</v>
      </c>
      <c r="D17" s="511">
        <v>20880</v>
      </c>
      <c r="E17" s="512">
        <v>22000</v>
      </c>
    </row>
    <row r="18" spans="1:6" s="460" customFormat="1" ht="12" customHeight="1" thickBot="1" x14ac:dyDescent="0.25">
      <c r="A18" s="20" t="s">
        <v>178</v>
      </c>
      <c r="B18" s="21" t="s">
        <v>537</v>
      </c>
      <c r="C18" s="511">
        <v>34500</v>
      </c>
      <c r="D18" s="511">
        <v>38900</v>
      </c>
      <c r="E18" s="512">
        <v>39800</v>
      </c>
    </row>
    <row r="19" spans="1:6" s="460" customFormat="1" ht="12" customHeight="1" thickBot="1" x14ac:dyDescent="0.25">
      <c r="A19" s="20" t="s">
        <v>25</v>
      </c>
      <c r="B19" s="327" t="s">
        <v>536</v>
      </c>
      <c r="C19" s="511">
        <v>22387</v>
      </c>
      <c r="D19" s="511">
        <v>25969</v>
      </c>
      <c r="E19" s="512">
        <v>26200</v>
      </c>
    </row>
    <row r="20" spans="1:6" s="460" customFormat="1" ht="12" customHeight="1" thickBot="1" x14ac:dyDescent="0.25">
      <c r="A20" s="20" t="s">
        <v>26</v>
      </c>
      <c r="B20" s="21" t="s">
        <v>307</v>
      </c>
      <c r="C20" s="448">
        <v>1718851</v>
      </c>
      <c r="D20" s="448">
        <f>+D5+D6+D7+D8+D16+D17+D18+D19</f>
        <v>1974094</v>
      </c>
      <c r="E20" s="338">
        <f>+E5+E6+E7+E8+E16+E17+E18+E19</f>
        <v>1978374</v>
      </c>
    </row>
    <row r="21" spans="1:6" s="460" customFormat="1" ht="12" customHeight="1" thickBot="1" x14ac:dyDescent="0.25">
      <c r="A21" s="20" t="s">
        <v>27</v>
      </c>
      <c r="B21" s="21" t="s">
        <v>539</v>
      </c>
      <c r="C21" s="562">
        <v>83000</v>
      </c>
      <c r="D21" s="562">
        <v>83201</v>
      </c>
      <c r="E21" s="563">
        <v>83201</v>
      </c>
    </row>
    <row r="22" spans="1:6" s="460" customFormat="1" ht="12" customHeight="1" thickBot="1" x14ac:dyDescent="0.25">
      <c r="A22" s="20" t="s">
        <v>28</v>
      </c>
      <c r="B22" s="21" t="s">
        <v>540</v>
      </c>
      <c r="C22" s="448">
        <f>+C20+C21</f>
        <v>1801851</v>
      </c>
      <c r="D22" s="448">
        <f>+D20+D21</f>
        <v>2057295</v>
      </c>
      <c r="E22" s="492">
        <f>+E20+E21</f>
        <v>2061575</v>
      </c>
    </row>
    <row r="23" spans="1:6" s="460" customFormat="1" ht="12" customHeight="1" x14ac:dyDescent="0.2">
      <c r="A23" s="410"/>
      <c r="B23" s="411"/>
      <c r="C23" s="412"/>
      <c r="D23" s="559"/>
      <c r="E23" s="560"/>
    </row>
    <row r="24" spans="1:6" s="460" customFormat="1" ht="12" customHeight="1" x14ac:dyDescent="0.2">
      <c r="A24" s="670" t="s">
        <v>47</v>
      </c>
      <c r="B24" s="670"/>
      <c r="C24" s="670"/>
      <c r="D24" s="670"/>
      <c r="E24" s="670"/>
    </row>
    <row r="25" spans="1:6" s="460" customFormat="1" ht="12" customHeight="1" thickBot="1" x14ac:dyDescent="0.25">
      <c r="A25" s="672" t="s">
        <v>154</v>
      </c>
      <c r="B25" s="672"/>
      <c r="C25" s="425"/>
      <c r="D25" s="165"/>
      <c r="E25" s="342" t="s">
        <v>227</v>
      </c>
    </row>
    <row r="26" spans="1:6" s="460" customFormat="1" ht="24" customHeight="1" thickBot="1" x14ac:dyDescent="0.25">
      <c r="A26" s="23" t="s">
        <v>16</v>
      </c>
      <c r="B26" s="24" t="s">
        <v>48</v>
      </c>
      <c r="C26" s="24" t="str">
        <f>+C3</f>
        <v>2018. évi</v>
      </c>
      <c r="D26" s="24" t="str">
        <f>+D3</f>
        <v>2019. évi</v>
      </c>
      <c r="E26" s="186" t="str">
        <f>+E3</f>
        <v>2020. évi</v>
      </c>
      <c r="F26" s="561"/>
    </row>
    <row r="27" spans="1:6" s="460" customFormat="1" ht="12" customHeight="1" thickBot="1" x14ac:dyDescent="0.25">
      <c r="A27" s="453" t="s">
        <v>496</v>
      </c>
      <c r="B27" s="454" t="s">
        <v>497</v>
      </c>
      <c r="C27" s="454" t="s">
        <v>498</v>
      </c>
      <c r="D27" s="454" t="s">
        <v>500</v>
      </c>
      <c r="E27" s="555" t="s">
        <v>499</v>
      </c>
      <c r="F27" s="561"/>
    </row>
    <row r="28" spans="1:6" s="460" customFormat="1" ht="15" customHeight="1" thickBot="1" x14ac:dyDescent="0.25">
      <c r="A28" s="20" t="s">
        <v>18</v>
      </c>
      <c r="B28" s="30" t="s">
        <v>541</v>
      </c>
      <c r="C28" s="511">
        <v>1538623</v>
      </c>
      <c r="D28" s="511">
        <v>1784803</v>
      </c>
      <c r="E28" s="507">
        <v>1785784</v>
      </c>
      <c r="F28" s="561"/>
    </row>
    <row r="29" spans="1:6" ht="12" customHeight="1" thickBot="1" x14ac:dyDescent="0.3">
      <c r="A29" s="533" t="s">
        <v>19</v>
      </c>
      <c r="B29" s="556" t="s">
        <v>546</v>
      </c>
      <c r="C29" s="557">
        <f>+C30+C31+C32</f>
        <v>87338</v>
      </c>
      <c r="D29" s="557">
        <f>+D30+D31+D32</f>
        <v>101312</v>
      </c>
      <c r="E29" s="558">
        <f>+E30+E31+E32</f>
        <v>102900</v>
      </c>
    </row>
    <row r="30" spans="1:6" ht="12" customHeight="1" x14ac:dyDescent="0.25">
      <c r="A30" s="15" t="s">
        <v>106</v>
      </c>
      <c r="B30" s="8" t="s">
        <v>226</v>
      </c>
      <c r="C30" s="443">
        <v>62700</v>
      </c>
      <c r="D30" s="443">
        <v>72732</v>
      </c>
      <c r="E30" s="300">
        <v>73800</v>
      </c>
    </row>
    <row r="31" spans="1:6" ht="12" customHeight="1" x14ac:dyDescent="0.25">
      <c r="A31" s="15" t="s">
        <v>107</v>
      </c>
      <c r="B31" s="12" t="s">
        <v>185</v>
      </c>
      <c r="C31" s="442">
        <v>16142</v>
      </c>
      <c r="D31" s="442">
        <v>18725</v>
      </c>
      <c r="E31" s="299">
        <v>19100</v>
      </c>
    </row>
    <row r="32" spans="1:6" ht="12" customHeight="1" thickBot="1" x14ac:dyDescent="0.3">
      <c r="A32" s="15" t="s">
        <v>108</v>
      </c>
      <c r="B32" s="329" t="s">
        <v>229</v>
      </c>
      <c r="C32" s="442">
        <v>8496</v>
      </c>
      <c r="D32" s="442">
        <v>9855</v>
      </c>
      <c r="E32" s="299">
        <v>10000</v>
      </c>
    </row>
    <row r="33" spans="1:7" ht="12" customHeight="1" thickBot="1" x14ac:dyDescent="0.3">
      <c r="A33" s="20" t="s">
        <v>20</v>
      </c>
      <c r="B33" s="150" t="s">
        <v>452</v>
      </c>
      <c r="C33" s="441">
        <f>+C28+C29</f>
        <v>1625961</v>
      </c>
      <c r="D33" s="441">
        <f>+D28+D29</f>
        <v>1886115</v>
      </c>
      <c r="E33" s="298">
        <f>+E28+E29</f>
        <v>1888684</v>
      </c>
    </row>
    <row r="34" spans="1:7" ht="15" customHeight="1" thickBot="1" x14ac:dyDescent="0.3">
      <c r="A34" s="20" t="s">
        <v>21</v>
      </c>
      <c r="B34" s="150" t="s">
        <v>542</v>
      </c>
      <c r="C34" s="564">
        <f>C22-C33</f>
        <v>175890</v>
      </c>
      <c r="D34" s="564">
        <f>D22-D33</f>
        <v>171180</v>
      </c>
      <c r="E34" s="565">
        <f>E22-E33</f>
        <v>172891</v>
      </c>
      <c r="F34" s="473"/>
    </row>
    <row r="35" spans="1:7" s="460" customFormat="1" ht="12.95" customHeight="1" thickBot="1" x14ac:dyDescent="0.25">
      <c r="A35" s="330" t="s">
        <v>22</v>
      </c>
      <c r="B35" s="423" t="s">
        <v>543</v>
      </c>
      <c r="C35" s="554">
        <f>+C33+C34</f>
        <v>1801851</v>
      </c>
      <c r="D35" s="554">
        <f>+D33+D34</f>
        <v>2057295</v>
      </c>
      <c r="E35" s="548">
        <f>+E33+E34</f>
        <v>2061575</v>
      </c>
    </row>
    <row r="36" spans="1:7" x14ac:dyDescent="0.25">
      <c r="C36" s="424"/>
    </row>
    <row r="37" spans="1:7" x14ac:dyDescent="0.25">
      <c r="C37" s="424"/>
    </row>
    <row r="38" spans="1:7" x14ac:dyDescent="0.25">
      <c r="C38" s="424"/>
    </row>
    <row r="39" spans="1:7" ht="16.5" customHeight="1" x14ac:dyDescent="0.25">
      <c r="C39" s="424"/>
    </row>
    <row r="40" spans="1:7" x14ac:dyDescent="0.25">
      <c r="C40" s="424"/>
    </row>
    <row r="41" spans="1:7" x14ac:dyDescent="0.25">
      <c r="C41" s="424"/>
    </row>
    <row r="42" spans="1:7" s="424" customFormat="1" x14ac:dyDescent="0.25">
      <c r="F42" s="458"/>
      <c r="G42" s="458"/>
    </row>
    <row r="43" spans="1:7" s="424" customFormat="1" x14ac:dyDescent="0.25">
      <c r="F43" s="458"/>
      <c r="G43" s="458"/>
    </row>
    <row r="44" spans="1:7" s="424" customFormat="1" x14ac:dyDescent="0.25">
      <c r="F44" s="458"/>
      <c r="G44" s="458"/>
    </row>
    <row r="45" spans="1:7" s="424" customFormat="1" x14ac:dyDescent="0.25">
      <c r="F45" s="458"/>
      <c r="G45" s="458"/>
    </row>
    <row r="46" spans="1:7" s="424" customFormat="1" x14ac:dyDescent="0.25">
      <c r="F46" s="458"/>
      <c r="G46" s="458"/>
    </row>
    <row r="47" spans="1:7" s="424" customFormat="1" x14ac:dyDescent="0.25">
      <c r="F47" s="458"/>
      <c r="G47" s="458"/>
    </row>
    <row r="48" spans="1:7" s="424" customFormat="1" x14ac:dyDescent="0.25">
      <c r="F48" s="458"/>
      <c r="G48" s="458"/>
    </row>
  </sheetData>
  <mergeCells count="4">
    <mergeCell ref="A1:E1"/>
    <mergeCell ref="A2:B2"/>
    <mergeCell ref="A24:E24"/>
    <mergeCell ref="A25:B25"/>
  </mergeCells>
  <printOptions horizontalCentered="1"/>
  <pageMargins left="0.78740157480314965" right="0.78740157480314965" top="1.4566929133858268" bottom="0.86614173228346458" header="0.78740157480314965" footer="0.59055118110236227"/>
  <pageSetup paperSize="9" scale="75" fitToWidth="3" fitToHeight="2" orientation="portrait" r:id="rId1"/>
  <headerFooter alignWithMargins="0">
    <oddHeader>&amp;C&amp;"Times New Roman CE,Félkövér"&amp;12Ibrány Város Önkormányzata
2017. ÉVI KÖLTSÉGVETÉSI ÉVET KÖVETŐ 3 ÉV TERVEZETT BEVÉTELEI, KIADÁSAI&amp;R&amp;"Times New Roman CE,Félkövér dőlt"&amp;11 7. számú tájékoztató tábla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3" sqref="B13"/>
    </sheetView>
  </sheetViews>
  <sheetFormatPr defaultRowHeight="12.75" x14ac:dyDescent="0.2"/>
  <sheetData/>
  <phoneticPr fontId="30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59"/>
  <sheetViews>
    <sheetView view="pageLayout" topLeftCell="A136" zoomScaleNormal="130" zoomScaleSheetLayoutView="100" workbookViewId="0">
      <selection activeCell="C91" sqref="C91:C154"/>
    </sheetView>
  </sheetViews>
  <sheetFormatPr defaultRowHeight="15.75" x14ac:dyDescent="0.25"/>
  <cols>
    <col min="1" max="1" width="9.5" style="424" customWidth="1"/>
    <col min="2" max="2" width="91.6640625" style="424" customWidth="1"/>
    <col min="3" max="3" width="21.6640625" style="425" customWidth="1"/>
    <col min="4" max="4" width="9" style="458" customWidth="1"/>
    <col min="5" max="16384" width="9.33203125" style="458"/>
  </cols>
  <sheetData>
    <row r="1" spans="1:3" ht="15.95" customHeight="1" x14ac:dyDescent="0.25">
      <c r="A1" s="670" t="s">
        <v>15</v>
      </c>
      <c r="B1" s="670"/>
      <c r="C1" s="670"/>
    </row>
    <row r="2" spans="1:3" ht="15.95" customHeight="1" thickBot="1" x14ac:dyDescent="0.3">
      <c r="A2" s="671" t="s">
        <v>153</v>
      </c>
      <c r="B2" s="671"/>
      <c r="C2" s="342" t="s">
        <v>579</v>
      </c>
    </row>
    <row r="3" spans="1:3" ht="38.1" customHeight="1" thickBot="1" x14ac:dyDescent="0.3">
      <c r="A3" s="23" t="s">
        <v>71</v>
      </c>
      <c r="B3" s="24" t="s">
        <v>17</v>
      </c>
      <c r="C3" s="44" t="str">
        <f>+CONCATENATE(LEFT(ÖSSZEFÜGGÉSEK!A5,4),". évi előirányzat")</f>
        <v>2017. évi előirányzat</v>
      </c>
    </row>
    <row r="4" spans="1:3" s="459" customFormat="1" ht="12" customHeight="1" thickBot="1" x14ac:dyDescent="0.25">
      <c r="A4" s="453"/>
      <c r="B4" s="454" t="s">
        <v>496</v>
      </c>
      <c r="C4" s="455" t="s">
        <v>497</v>
      </c>
    </row>
    <row r="5" spans="1:3" s="460" customFormat="1" ht="12" customHeight="1" thickBot="1" x14ac:dyDescent="0.25">
      <c r="A5" s="20" t="s">
        <v>18</v>
      </c>
      <c r="B5" s="21" t="s">
        <v>252</v>
      </c>
      <c r="C5" s="332">
        <f>+C6+C7+C8+C9+C10+C11</f>
        <v>0</v>
      </c>
    </row>
    <row r="6" spans="1:3" s="460" customFormat="1" ht="12" customHeight="1" x14ac:dyDescent="0.2">
      <c r="A6" s="15" t="s">
        <v>100</v>
      </c>
      <c r="B6" s="461" t="s">
        <v>253</v>
      </c>
      <c r="C6" s="335"/>
    </row>
    <row r="7" spans="1:3" s="460" customFormat="1" ht="12" customHeight="1" x14ac:dyDescent="0.2">
      <c r="A7" s="14" t="s">
        <v>101</v>
      </c>
      <c r="B7" s="462" t="s">
        <v>254</v>
      </c>
      <c r="C7" s="334"/>
    </row>
    <row r="8" spans="1:3" s="460" customFormat="1" ht="12" customHeight="1" x14ac:dyDescent="0.2">
      <c r="A8" s="14" t="s">
        <v>102</v>
      </c>
      <c r="B8" s="462" t="s">
        <v>554</v>
      </c>
      <c r="C8" s="334"/>
    </row>
    <row r="9" spans="1:3" s="460" customFormat="1" ht="12" customHeight="1" x14ac:dyDescent="0.2">
      <c r="A9" s="14" t="s">
        <v>103</v>
      </c>
      <c r="B9" s="462" t="s">
        <v>256</v>
      </c>
      <c r="C9" s="334"/>
    </row>
    <row r="10" spans="1:3" s="460" customFormat="1" ht="12" customHeight="1" x14ac:dyDescent="0.2">
      <c r="A10" s="14" t="s">
        <v>149</v>
      </c>
      <c r="B10" s="328" t="s">
        <v>436</v>
      </c>
      <c r="C10" s="334"/>
    </row>
    <row r="11" spans="1:3" s="460" customFormat="1" ht="12" customHeight="1" thickBot="1" x14ac:dyDescent="0.25">
      <c r="A11" s="16" t="s">
        <v>104</v>
      </c>
      <c r="B11" s="329" t="s">
        <v>437</v>
      </c>
      <c r="C11" s="334"/>
    </row>
    <row r="12" spans="1:3" s="460" customFormat="1" ht="12" customHeight="1" thickBot="1" x14ac:dyDescent="0.25">
      <c r="A12" s="20" t="s">
        <v>19</v>
      </c>
      <c r="B12" s="327" t="s">
        <v>257</v>
      </c>
      <c r="C12" s="332">
        <f>+C13+C14+C15+C16+C17</f>
        <v>0</v>
      </c>
    </row>
    <row r="13" spans="1:3" s="460" customFormat="1" ht="12" customHeight="1" x14ac:dyDescent="0.2">
      <c r="A13" s="15" t="s">
        <v>106</v>
      </c>
      <c r="B13" s="461" t="s">
        <v>258</v>
      </c>
      <c r="C13" s="335"/>
    </row>
    <row r="14" spans="1:3" s="460" customFormat="1" ht="12" customHeight="1" x14ac:dyDescent="0.2">
      <c r="A14" s="14" t="s">
        <v>107</v>
      </c>
      <c r="B14" s="462" t="s">
        <v>259</v>
      </c>
      <c r="C14" s="334"/>
    </row>
    <row r="15" spans="1:3" s="460" customFormat="1" ht="12" customHeight="1" x14ac:dyDescent="0.2">
      <c r="A15" s="14" t="s">
        <v>108</v>
      </c>
      <c r="B15" s="462" t="s">
        <v>426</v>
      </c>
      <c r="C15" s="334"/>
    </row>
    <row r="16" spans="1:3" s="460" customFormat="1" ht="12" customHeight="1" x14ac:dyDescent="0.2">
      <c r="A16" s="14" t="s">
        <v>109</v>
      </c>
      <c r="B16" s="462" t="s">
        <v>427</v>
      </c>
      <c r="C16" s="334"/>
    </row>
    <row r="17" spans="1:3" s="460" customFormat="1" ht="12" customHeight="1" x14ac:dyDescent="0.2">
      <c r="A17" s="14" t="s">
        <v>110</v>
      </c>
      <c r="B17" s="462" t="s">
        <v>260</v>
      </c>
      <c r="C17" s="334"/>
    </row>
    <row r="18" spans="1:3" s="460" customFormat="1" ht="12" customHeight="1" thickBot="1" x14ac:dyDescent="0.25">
      <c r="A18" s="16" t="s">
        <v>119</v>
      </c>
      <c r="B18" s="329" t="s">
        <v>261</v>
      </c>
      <c r="C18" s="336"/>
    </row>
    <row r="19" spans="1:3" s="460" customFormat="1" ht="12" customHeight="1" thickBot="1" x14ac:dyDescent="0.25">
      <c r="A19" s="20" t="s">
        <v>20</v>
      </c>
      <c r="B19" s="21" t="s">
        <v>262</v>
      </c>
      <c r="C19" s="332">
        <f>+C20+C21+C22+C23+C24</f>
        <v>0</v>
      </c>
    </row>
    <row r="20" spans="1:3" s="460" customFormat="1" ht="12" customHeight="1" x14ac:dyDescent="0.2">
      <c r="A20" s="15" t="s">
        <v>89</v>
      </c>
      <c r="B20" s="461" t="s">
        <v>263</v>
      </c>
      <c r="C20" s="335"/>
    </row>
    <row r="21" spans="1:3" s="460" customFormat="1" ht="12" customHeight="1" x14ac:dyDescent="0.2">
      <c r="A21" s="14" t="s">
        <v>90</v>
      </c>
      <c r="B21" s="462" t="s">
        <v>264</v>
      </c>
      <c r="C21" s="334"/>
    </row>
    <row r="22" spans="1:3" s="460" customFormat="1" ht="12" customHeight="1" x14ac:dyDescent="0.2">
      <c r="A22" s="14" t="s">
        <v>91</v>
      </c>
      <c r="B22" s="462" t="s">
        <v>428</v>
      </c>
      <c r="C22" s="334"/>
    </row>
    <row r="23" spans="1:3" s="460" customFormat="1" ht="12" customHeight="1" x14ac:dyDescent="0.2">
      <c r="A23" s="14" t="s">
        <v>92</v>
      </c>
      <c r="B23" s="462" t="s">
        <v>429</v>
      </c>
      <c r="C23" s="334"/>
    </row>
    <row r="24" spans="1:3" s="460" customFormat="1" ht="12" customHeight="1" x14ac:dyDescent="0.2">
      <c r="A24" s="14" t="s">
        <v>169</v>
      </c>
      <c r="B24" s="462" t="s">
        <v>265</v>
      </c>
      <c r="C24" s="334"/>
    </row>
    <row r="25" spans="1:3" s="460" customFormat="1" ht="12" customHeight="1" thickBot="1" x14ac:dyDescent="0.25">
      <c r="A25" s="16" t="s">
        <v>170</v>
      </c>
      <c r="B25" s="463" t="s">
        <v>266</v>
      </c>
      <c r="C25" s="336"/>
    </row>
    <row r="26" spans="1:3" s="460" customFormat="1" ht="12" customHeight="1" thickBot="1" x14ac:dyDescent="0.25">
      <c r="A26" s="20" t="s">
        <v>171</v>
      </c>
      <c r="B26" s="21" t="s">
        <v>564</v>
      </c>
      <c r="C26" s="338">
        <f>SUM(C27:C33)</f>
        <v>0</v>
      </c>
    </row>
    <row r="27" spans="1:3" s="460" customFormat="1" ht="12" customHeight="1" x14ac:dyDescent="0.2">
      <c r="A27" s="15" t="s">
        <v>268</v>
      </c>
      <c r="B27" s="461" t="s">
        <v>559</v>
      </c>
      <c r="C27" s="335"/>
    </row>
    <row r="28" spans="1:3" s="460" customFormat="1" ht="12" customHeight="1" x14ac:dyDescent="0.2">
      <c r="A28" s="14" t="s">
        <v>269</v>
      </c>
      <c r="B28" s="462" t="s">
        <v>560</v>
      </c>
      <c r="C28" s="334"/>
    </row>
    <row r="29" spans="1:3" s="460" customFormat="1" ht="12" customHeight="1" x14ac:dyDescent="0.2">
      <c r="A29" s="14" t="s">
        <v>270</v>
      </c>
      <c r="B29" s="462" t="s">
        <v>561</v>
      </c>
      <c r="C29" s="334"/>
    </row>
    <row r="30" spans="1:3" s="460" customFormat="1" ht="12" customHeight="1" x14ac:dyDescent="0.2">
      <c r="A30" s="14" t="s">
        <v>271</v>
      </c>
      <c r="B30" s="462" t="s">
        <v>562</v>
      </c>
      <c r="C30" s="334"/>
    </row>
    <row r="31" spans="1:3" s="460" customFormat="1" ht="12" customHeight="1" x14ac:dyDescent="0.2">
      <c r="A31" s="14" t="s">
        <v>556</v>
      </c>
      <c r="B31" s="462" t="s">
        <v>272</v>
      </c>
      <c r="C31" s="334"/>
    </row>
    <row r="32" spans="1:3" s="460" customFormat="1" ht="12" customHeight="1" x14ac:dyDescent="0.2">
      <c r="A32" s="14" t="s">
        <v>557</v>
      </c>
      <c r="B32" s="462" t="s">
        <v>273</v>
      </c>
      <c r="C32" s="334"/>
    </row>
    <row r="33" spans="1:3" s="460" customFormat="1" ht="12" customHeight="1" thickBot="1" x14ac:dyDescent="0.25">
      <c r="A33" s="16" t="s">
        <v>558</v>
      </c>
      <c r="B33" s="566" t="s">
        <v>274</v>
      </c>
      <c r="C33" s="336"/>
    </row>
    <row r="34" spans="1:3" s="460" customFormat="1" ht="12" customHeight="1" thickBot="1" x14ac:dyDescent="0.25">
      <c r="A34" s="20" t="s">
        <v>22</v>
      </c>
      <c r="B34" s="21" t="s">
        <v>438</v>
      </c>
      <c r="C34" s="332">
        <f>SUM(C35:C45)</f>
        <v>0</v>
      </c>
    </row>
    <row r="35" spans="1:3" s="460" customFormat="1" ht="12" customHeight="1" x14ac:dyDescent="0.2">
      <c r="A35" s="15" t="s">
        <v>93</v>
      </c>
      <c r="B35" s="461" t="s">
        <v>277</v>
      </c>
      <c r="C35" s="335"/>
    </row>
    <row r="36" spans="1:3" s="460" customFormat="1" ht="12" customHeight="1" x14ac:dyDescent="0.2">
      <c r="A36" s="14" t="s">
        <v>94</v>
      </c>
      <c r="B36" s="462" t="s">
        <v>278</v>
      </c>
      <c r="C36" s="334"/>
    </row>
    <row r="37" spans="1:3" s="460" customFormat="1" ht="12" customHeight="1" x14ac:dyDescent="0.2">
      <c r="A37" s="14" t="s">
        <v>95</v>
      </c>
      <c r="B37" s="462" t="s">
        <v>279</v>
      </c>
      <c r="C37" s="334"/>
    </row>
    <row r="38" spans="1:3" s="460" customFormat="1" ht="12" customHeight="1" x14ac:dyDescent="0.2">
      <c r="A38" s="14" t="s">
        <v>173</v>
      </c>
      <c r="B38" s="462" t="s">
        <v>280</v>
      </c>
      <c r="C38" s="334"/>
    </row>
    <row r="39" spans="1:3" s="460" customFormat="1" ht="12" customHeight="1" x14ac:dyDescent="0.2">
      <c r="A39" s="14" t="s">
        <v>174</v>
      </c>
      <c r="B39" s="462" t="s">
        <v>281</v>
      </c>
      <c r="C39" s="334"/>
    </row>
    <row r="40" spans="1:3" s="460" customFormat="1" ht="12" customHeight="1" x14ac:dyDescent="0.2">
      <c r="A40" s="14" t="s">
        <v>175</v>
      </c>
      <c r="B40" s="462" t="s">
        <v>282</v>
      </c>
      <c r="C40" s="334"/>
    </row>
    <row r="41" spans="1:3" s="460" customFormat="1" ht="12" customHeight="1" x14ac:dyDescent="0.2">
      <c r="A41" s="14" t="s">
        <v>176</v>
      </c>
      <c r="B41" s="462" t="s">
        <v>283</v>
      </c>
      <c r="C41" s="334"/>
    </row>
    <row r="42" spans="1:3" s="460" customFormat="1" ht="12" customHeight="1" x14ac:dyDescent="0.2">
      <c r="A42" s="14" t="s">
        <v>177</v>
      </c>
      <c r="B42" s="462" t="s">
        <v>563</v>
      </c>
      <c r="C42" s="334"/>
    </row>
    <row r="43" spans="1:3" s="460" customFormat="1" ht="12" customHeight="1" x14ac:dyDescent="0.2">
      <c r="A43" s="14" t="s">
        <v>275</v>
      </c>
      <c r="B43" s="462" t="s">
        <v>285</v>
      </c>
      <c r="C43" s="337"/>
    </row>
    <row r="44" spans="1:3" s="460" customFormat="1" ht="12" customHeight="1" x14ac:dyDescent="0.2">
      <c r="A44" s="16" t="s">
        <v>276</v>
      </c>
      <c r="B44" s="463" t="s">
        <v>440</v>
      </c>
      <c r="C44" s="447"/>
    </row>
    <row r="45" spans="1:3" s="460" customFormat="1" ht="12" customHeight="1" thickBot="1" x14ac:dyDescent="0.25">
      <c r="A45" s="16" t="s">
        <v>439</v>
      </c>
      <c r="B45" s="329" t="s">
        <v>286</v>
      </c>
      <c r="C45" s="447"/>
    </row>
    <row r="46" spans="1:3" s="460" customFormat="1" ht="12" customHeight="1" thickBot="1" x14ac:dyDescent="0.25">
      <c r="A46" s="20" t="s">
        <v>23</v>
      </c>
      <c r="B46" s="21" t="s">
        <v>287</v>
      </c>
      <c r="C46" s="332">
        <f>SUM(C47:C51)</f>
        <v>0</v>
      </c>
    </row>
    <row r="47" spans="1:3" s="460" customFormat="1" ht="12" customHeight="1" x14ac:dyDescent="0.2">
      <c r="A47" s="15" t="s">
        <v>96</v>
      </c>
      <c r="B47" s="461" t="s">
        <v>291</v>
      </c>
      <c r="C47" s="506"/>
    </row>
    <row r="48" spans="1:3" s="460" customFormat="1" ht="12" customHeight="1" x14ac:dyDescent="0.2">
      <c r="A48" s="14" t="s">
        <v>97</v>
      </c>
      <c r="B48" s="462" t="s">
        <v>292</v>
      </c>
      <c r="C48" s="337"/>
    </row>
    <row r="49" spans="1:3" s="460" customFormat="1" ht="12" customHeight="1" x14ac:dyDescent="0.2">
      <c r="A49" s="14" t="s">
        <v>288</v>
      </c>
      <c r="B49" s="462" t="s">
        <v>293</v>
      </c>
      <c r="C49" s="337"/>
    </row>
    <row r="50" spans="1:3" s="460" customFormat="1" ht="12" customHeight="1" x14ac:dyDescent="0.2">
      <c r="A50" s="14" t="s">
        <v>289</v>
      </c>
      <c r="B50" s="462" t="s">
        <v>294</v>
      </c>
      <c r="C50" s="337"/>
    </row>
    <row r="51" spans="1:3" s="460" customFormat="1" ht="12" customHeight="1" thickBot="1" x14ac:dyDescent="0.25">
      <c r="A51" s="16" t="s">
        <v>290</v>
      </c>
      <c r="B51" s="329" t="s">
        <v>295</v>
      </c>
      <c r="C51" s="447"/>
    </row>
    <row r="52" spans="1:3" s="460" customFormat="1" ht="12" customHeight="1" thickBot="1" x14ac:dyDescent="0.25">
      <c r="A52" s="20" t="s">
        <v>178</v>
      </c>
      <c r="B52" s="21" t="s">
        <v>296</v>
      </c>
      <c r="C52" s="332">
        <f>SUM(C53:C55)</f>
        <v>0</v>
      </c>
    </row>
    <row r="53" spans="1:3" s="460" customFormat="1" ht="12" customHeight="1" x14ac:dyDescent="0.2">
      <c r="A53" s="15" t="s">
        <v>98</v>
      </c>
      <c r="B53" s="461" t="s">
        <v>297</v>
      </c>
      <c r="C53" s="335"/>
    </row>
    <row r="54" spans="1:3" s="460" customFormat="1" ht="12" customHeight="1" x14ac:dyDescent="0.2">
      <c r="A54" s="14" t="s">
        <v>99</v>
      </c>
      <c r="B54" s="462" t="s">
        <v>430</v>
      </c>
      <c r="C54" s="334"/>
    </row>
    <row r="55" spans="1:3" s="460" customFormat="1" ht="12" customHeight="1" x14ac:dyDescent="0.2">
      <c r="A55" s="14" t="s">
        <v>300</v>
      </c>
      <c r="B55" s="462" t="s">
        <v>298</v>
      </c>
      <c r="C55" s="334"/>
    </row>
    <row r="56" spans="1:3" s="460" customFormat="1" ht="12" customHeight="1" thickBot="1" x14ac:dyDescent="0.25">
      <c r="A56" s="16" t="s">
        <v>301</v>
      </c>
      <c r="B56" s="329" t="s">
        <v>299</v>
      </c>
      <c r="C56" s="336"/>
    </row>
    <row r="57" spans="1:3" s="460" customFormat="1" ht="12" customHeight="1" thickBot="1" x14ac:dyDescent="0.25">
      <c r="A57" s="20" t="s">
        <v>25</v>
      </c>
      <c r="B57" s="327" t="s">
        <v>302</v>
      </c>
      <c r="C57" s="332">
        <f>SUM(C58:C60)</f>
        <v>0</v>
      </c>
    </row>
    <row r="58" spans="1:3" s="460" customFormat="1" ht="12" customHeight="1" x14ac:dyDescent="0.2">
      <c r="A58" s="15" t="s">
        <v>179</v>
      </c>
      <c r="B58" s="461" t="s">
        <v>304</v>
      </c>
      <c r="C58" s="337"/>
    </row>
    <row r="59" spans="1:3" s="460" customFormat="1" ht="12" customHeight="1" x14ac:dyDescent="0.2">
      <c r="A59" s="14" t="s">
        <v>180</v>
      </c>
      <c r="B59" s="462" t="s">
        <v>431</v>
      </c>
      <c r="C59" s="337"/>
    </row>
    <row r="60" spans="1:3" s="460" customFormat="1" ht="12" customHeight="1" x14ac:dyDescent="0.2">
      <c r="A60" s="14" t="s">
        <v>228</v>
      </c>
      <c r="B60" s="462" t="s">
        <v>305</v>
      </c>
      <c r="C60" s="337"/>
    </row>
    <row r="61" spans="1:3" s="460" customFormat="1" ht="12" customHeight="1" thickBot="1" x14ac:dyDescent="0.25">
      <c r="A61" s="16" t="s">
        <v>303</v>
      </c>
      <c r="B61" s="329" t="s">
        <v>306</v>
      </c>
      <c r="C61" s="337"/>
    </row>
    <row r="62" spans="1:3" s="460" customFormat="1" ht="12" customHeight="1" thickBot="1" x14ac:dyDescent="0.25">
      <c r="A62" s="538" t="s">
        <v>480</v>
      </c>
      <c r="B62" s="21" t="s">
        <v>307</v>
      </c>
      <c r="C62" s="338">
        <f>+C5+C12+C19+C26+C34+C46+C52+C57</f>
        <v>0</v>
      </c>
    </row>
    <row r="63" spans="1:3" s="460" customFormat="1" ht="12" customHeight="1" thickBot="1" x14ac:dyDescent="0.25">
      <c r="A63" s="509" t="s">
        <v>308</v>
      </c>
      <c r="B63" s="327" t="s">
        <v>309</v>
      </c>
      <c r="C63" s="332">
        <f>SUM(C64:C66)</f>
        <v>0</v>
      </c>
    </row>
    <row r="64" spans="1:3" s="460" customFormat="1" ht="12" customHeight="1" x14ac:dyDescent="0.2">
      <c r="A64" s="15" t="s">
        <v>340</v>
      </c>
      <c r="B64" s="461" t="s">
        <v>310</v>
      </c>
      <c r="C64" s="337"/>
    </row>
    <row r="65" spans="1:3" s="460" customFormat="1" ht="12" customHeight="1" x14ac:dyDescent="0.2">
      <c r="A65" s="14" t="s">
        <v>349</v>
      </c>
      <c r="B65" s="462" t="s">
        <v>311</v>
      </c>
      <c r="C65" s="337"/>
    </row>
    <row r="66" spans="1:3" s="460" customFormat="1" ht="12" customHeight="1" thickBot="1" x14ac:dyDescent="0.25">
      <c r="A66" s="16" t="s">
        <v>350</v>
      </c>
      <c r="B66" s="532" t="s">
        <v>465</v>
      </c>
      <c r="C66" s="337"/>
    </row>
    <row r="67" spans="1:3" s="460" customFormat="1" ht="12" customHeight="1" thickBot="1" x14ac:dyDescent="0.25">
      <c r="A67" s="509" t="s">
        <v>313</v>
      </c>
      <c r="B67" s="327" t="s">
        <v>314</v>
      </c>
      <c r="C67" s="332">
        <f>SUM(C68:C71)</f>
        <v>0</v>
      </c>
    </row>
    <row r="68" spans="1:3" s="460" customFormat="1" ht="12" customHeight="1" x14ac:dyDescent="0.2">
      <c r="A68" s="15" t="s">
        <v>150</v>
      </c>
      <c r="B68" s="461" t="s">
        <v>315</v>
      </c>
      <c r="C68" s="337"/>
    </row>
    <row r="69" spans="1:3" s="460" customFormat="1" ht="12" customHeight="1" x14ac:dyDescent="0.2">
      <c r="A69" s="14" t="s">
        <v>151</v>
      </c>
      <c r="B69" s="462" t="s">
        <v>316</v>
      </c>
      <c r="C69" s="337"/>
    </row>
    <row r="70" spans="1:3" s="460" customFormat="1" ht="12" customHeight="1" x14ac:dyDescent="0.2">
      <c r="A70" s="14" t="s">
        <v>341</v>
      </c>
      <c r="B70" s="462" t="s">
        <v>317</v>
      </c>
      <c r="C70" s="337"/>
    </row>
    <row r="71" spans="1:3" s="460" customFormat="1" ht="12" customHeight="1" thickBot="1" x14ac:dyDescent="0.25">
      <c r="A71" s="16" t="s">
        <v>342</v>
      </c>
      <c r="B71" s="329" t="s">
        <v>318</v>
      </c>
      <c r="C71" s="337"/>
    </row>
    <row r="72" spans="1:3" s="460" customFormat="1" ht="12" customHeight="1" thickBot="1" x14ac:dyDescent="0.25">
      <c r="A72" s="509" t="s">
        <v>319</v>
      </c>
      <c r="B72" s="327" t="s">
        <v>320</v>
      </c>
      <c r="C72" s="332">
        <f>SUM(C73:C74)</f>
        <v>0</v>
      </c>
    </row>
    <row r="73" spans="1:3" s="460" customFormat="1" ht="12" customHeight="1" x14ac:dyDescent="0.2">
      <c r="A73" s="15" t="s">
        <v>343</v>
      </c>
      <c r="B73" s="461" t="s">
        <v>321</v>
      </c>
      <c r="C73" s="337"/>
    </row>
    <row r="74" spans="1:3" s="460" customFormat="1" ht="12" customHeight="1" thickBot="1" x14ac:dyDescent="0.25">
      <c r="A74" s="16" t="s">
        <v>344</v>
      </c>
      <c r="B74" s="329" t="s">
        <v>322</v>
      </c>
      <c r="C74" s="337"/>
    </row>
    <row r="75" spans="1:3" s="460" customFormat="1" ht="12" customHeight="1" thickBot="1" x14ac:dyDescent="0.25">
      <c r="A75" s="509" t="s">
        <v>323</v>
      </c>
      <c r="B75" s="327" t="s">
        <v>324</v>
      </c>
      <c r="C75" s="332">
        <f>SUM(C76:C78)</f>
        <v>0</v>
      </c>
    </row>
    <row r="76" spans="1:3" s="460" customFormat="1" ht="12" customHeight="1" x14ac:dyDescent="0.2">
      <c r="A76" s="15" t="s">
        <v>345</v>
      </c>
      <c r="B76" s="461" t="s">
        <v>325</v>
      </c>
      <c r="C76" s="337"/>
    </row>
    <row r="77" spans="1:3" s="460" customFormat="1" ht="12" customHeight="1" x14ac:dyDescent="0.2">
      <c r="A77" s="14" t="s">
        <v>346</v>
      </c>
      <c r="B77" s="462" t="s">
        <v>326</v>
      </c>
      <c r="C77" s="337"/>
    </row>
    <row r="78" spans="1:3" s="460" customFormat="1" ht="12" customHeight="1" thickBot="1" x14ac:dyDescent="0.25">
      <c r="A78" s="16" t="s">
        <v>347</v>
      </c>
      <c r="B78" s="329" t="s">
        <v>327</v>
      </c>
      <c r="C78" s="337"/>
    </row>
    <row r="79" spans="1:3" s="460" customFormat="1" ht="12" customHeight="1" thickBot="1" x14ac:dyDescent="0.25">
      <c r="A79" s="509" t="s">
        <v>328</v>
      </c>
      <c r="B79" s="327" t="s">
        <v>348</v>
      </c>
      <c r="C79" s="332">
        <f>SUM(C80:C83)</f>
        <v>0</v>
      </c>
    </row>
    <row r="80" spans="1:3" s="460" customFormat="1" ht="12" customHeight="1" x14ac:dyDescent="0.2">
      <c r="A80" s="465" t="s">
        <v>329</v>
      </c>
      <c r="B80" s="461" t="s">
        <v>330</v>
      </c>
      <c r="C80" s="337"/>
    </row>
    <row r="81" spans="1:3" s="460" customFormat="1" ht="12" customHeight="1" x14ac:dyDescent="0.2">
      <c r="A81" s="466" t="s">
        <v>331</v>
      </c>
      <c r="B81" s="462" t="s">
        <v>332</v>
      </c>
      <c r="C81" s="337"/>
    </row>
    <row r="82" spans="1:3" s="460" customFormat="1" ht="12" customHeight="1" x14ac:dyDescent="0.2">
      <c r="A82" s="466" t="s">
        <v>333</v>
      </c>
      <c r="B82" s="462" t="s">
        <v>334</v>
      </c>
      <c r="C82" s="337"/>
    </row>
    <row r="83" spans="1:3" s="460" customFormat="1" ht="12" customHeight="1" thickBot="1" x14ac:dyDescent="0.25">
      <c r="A83" s="467" t="s">
        <v>335</v>
      </c>
      <c r="B83" s="329" t="s">
        <v>336</v>
      </c>
      <c r="C83" s="337"/>
    </row>
    <row r="84" spans="1:3" s="460" customFormat="1" ht="12" customHeight="1" thickBot="1" x14ac:dyDescent="0.25">
      <c r="A84" s="509" t="s">
        <v>337</v>
      </c>
      <c r="B84" s="327" t="s">
        <v>479</v>
      </c>
      <c r="C84" s="507"/>
    </row>
    <row r="85" spans="1:3" s="460" customFormat="1" ht="13.5" customHeight="1" thickBot="1" x14ac:dyDescent="0.25">
      <c r="A85" s="509" t="s">
        <v>339</v>
      </c>
      <c r="B85" s="327" t="s">
        <v>338</v>
      </c>
      <c r="C85" s="507"/>
    </row>
    <row r="86" spans="1:3" s="460" customFormat="1" ht="15.75" customHeight="1" thickBot="1" x14ac:dyDescent="0.25">
      <c r="A86" s="509" t="s">
        <v>351</v>
      </c>
      <c r="B86" s="468" t="s">
        <v>482</v>
      </c>
      <c r="C86" s="338">
        <f>+C63+C67+C72+C75+C79+C85+C84</f>
        <v>0</v>
      </c>
    </row>
    <row r="87" spans="1:3" s="460" customFormat="1" ht="16.5" customHeight="1" thickBot="1" x14ac:dyDescent="0.25">
      <c r="A87" s="510" t="s">
        <v>481</v>
      </c>
      <c r="B87" s="469" t="s">
        <v>483</v>
      </c>
      <c r="C87" s="338">
        <f>+C62+C86</f>
        <v>0</v>
      </c>
    </row>
    <row r="88" spans="1:3" s="460" customFormat="1" ht="24.75" customHeight="1" x14ac:dyDescent="0.2">
      <c r="A88" s="5"/>
      <c r="B88" s="6"/>
      <c r="C88" s="339"/>
    </row>
    <row r="89" spans="1:3" ht="16.5" customHeight="1" x14ac:dyDescent="0.25">
      <c r="A89" s="670" t="s">
        <v>47</v>
      </c>
      <c r="B89" s="670"/>
      <c r="C89" s="670"/>
    </row>
    <row r="90" spans="1:3" s="470" customFormat="1" ht="16.5" customHeight="1" thickBot="1" x14ac:dyDescent="0.3">
      <c r="A90" s="672" t="s">
        <v>154</v>
      </c>
      <c r="B90" s="672"/>
      <c r="C90" s="164" t="s">
        <v>579</v>
      </c>
    </row>
    <row r="91" spans="1:3" ht="38.1" customHeight="1" thickBot="1" x14ac:dyDescent="0.3">
      <c r="A91" s="23" t="s">
        <v>71</v>
      </c>
      <c r="B91" s="24" t="s">
        <v>48</v>
      </c>
      <c r="C91" s="44" t="str">
        <f>+C3</f>
        <v>2017. évi előirányzat</v>
      </c>
    </row>
    <row r="92" spans="1:3" s="459" customFormat="1" ht="12" customHeight="1" thickBot="1" x14ac:dyDescent="0.25">
      <c r="A92" s="36"/>
      <c r="B92" s="37" t="s">
        <v>496</v>
      </c>
      <c r="C92" s="38" t="s">
        <v>497</v>
      </c>
    </row>
    <row r="93" spans="1:3" ht="12" customHeight="1" thickBot="1" x14ac:dyDescent="0.3">
      <c r="A93" s="22" t="s">
        <v>18</v>
      </c>
      <c r="B93" s="31" t="s">
        <v>441</v>
      </c>
      <c r="C93" s="331">
        <f>C94+C95+C96+C97+C98+C111</f>
        <v>24793206</v>
      </c>
    </row>
    <row r="94" spans="1:3" ht="12" customHeight="1" x14ac:dyDescent="0.25">
      <c r="A94" s="17" t="s">
        <v>100</v>
      </c>
      <c r="B94" s="10" t="s">
        <v>49</v>
      </c>
      <c r="C94" s="333">
        <f>'9.2.3. sz. mell HIV'!C47</f>
        <v>18681211</v>
      </c>
    </row>
    <row r="95" spans="1:3" ht="12" customHeight="1" x14ac:dyDescent="0.25">
      <c r="A95" s="14" t="s">
        <v>101</v>
      </c>
      <c r="B95" s="8" t="s">
        <v>181</v>
      </c>
      <c r="C95" s="334">
        <f>'9.2.3. sz. mell HIV'!C48</f>
        <v>4671754</v>
      </c>
    </row>
    <row r="96" spans="1:3" ht="12" customHeight="1" x14ac:dyDescent="0.25">
      <c r="A96" s="14" t="s">
        <v>102</v>
      </c>
      <c r="B96" s="8" t="s">
        <v>142</v>
      </c>
      <c r="C96" s="335">
        <f>'9.2.3. sz. mell HIV'!C49</f>
        <v>1440241</v>
      </c>
    </row>
    <row r="97" spans="1:3" ht="12" customHeight="1" x14ac:dyDescent="0.25">
      <c r="A97" s="14" t="s">
        <v>103</v>
      </c>
      <c r="B97" s="11" t="s">
        <v>182</v>
      </c>
      <c r="C97" s="336"/>
    </row>
    <row r="98" spans="1:3" ht="12" customHeight="1" x14ac:dyDescent="0.25">
      <c r="A98" s="14" t="s">
        <v>114</v>
      </c>
      <c r="B98" s="19" t="s">
        <v>183</v>
      </c>
      <c r="C98" s="336"/>
    </row>
    <row r="99" spans="1:3" ht="12" customHeight="1" x14ac:dyDescent="0.25">
      <c r="A99" s="14" t="s">
        <v>104</v>
      </c>
      <c r="B99" s="8" t="s">
        <v>446</v>
      </c>
      <c r="C99" s="336"/>
    </row>
    <row r="100" spans="1:3" ht="12" customHeight="1" x14ac:dyDescent="0.25">
      <c r="A100" s="14" t="s">
        <v>105</v>
      </c>
      <c r="B100" s="169" t="s">
        <v>445</v>
      </c>
      <c r="C100" s="336"/>
    </row>
    <row r="101" spans="1:3" ht="12" customHeight="1" x14ac:dyDescent="0.25">
      <c r="A101" s="14" t="s">
        <v>115</v>
      </c>
      <c r="B101" s="169" t="s">
        <v>444</v>
      </c>
      <c r="C101" s="336"/>
    </row>
    <row r="102" spans="1:3" ht="12" customHeight="1" x14ac:dyDescent="0.25">
      <c r="A102" s="14" t="s">
        <v>116</v>
      </c>
      <c r="B102" s="167" t="s">
        <v>354</v>
      </c>
      <c r="C102" s="336"/>
    </row>
    <row r="103" spans="1:3" ht="12" customHeight="1" x14ac:dyDescent="0.25">
      <c r="A103" s="14" t="s">
        <v>117</v>
      </c>
      <c r="B103" s="168" t="s">
        <v>355</v>
      </c>
      <c r="C103" s="336"/>
    </row>
    <row r="104" spans="1:3" ht="12" customHeight="1" x14ac:dyDescent="0.25">
      <c r="A104" s="14" t="s">
        <v>118</v>
      </c>
      <c r="B104" s="168" t="s">
        <v>356</v>
      </c>
      <c r="C104" s="336"/>
    </row>
    <row r="105" spans="1:3" ht="12" customHeight="1" x14ac:dyDescent="0.25">
      <c r="A105" s="14" t="s">
        <v>120</v>
      </c>
      <c r="B105" s="167" t="s">
        <v>357</v>
      </c>
      <c r="C105" s="336"/>
    </row>
    <row r="106" spans="1:3" ht="12" customHeight="1" x14ac:dyDescent="0.25">
      <c r="A106" s="14" t="s">
        <v>184</v>
      </c>
      <c r="B106" s="167" t="s">
        <v>358</v>
      </c>
      <c r="C106" s="336"/>
    </row>
    <row r="107" spans="1:3" ht="12" customHeight="1" x14ac:dyDescent="0.25">
      <c r="A107" s="14" t="s">
        <v>352</v>
      </c>
      <c r="B107" s="168" t="s">
        <v>359</v>
      </c>
      <c r="C107" s="336"/>
    </row>
    <row r="108" spans="1:3" ht="12" customHeight="1" x14ac:dyDescent="0.25">
      <c r="A108" s="13" t="s">
        <v>353</v>
      </c>
      <c r="B108" s="169" t="s">
        <v>360</v>
      </c>
      <c r="C108" s="336"/>
    </row>
    <row r="109" spans="1:3" ht="12" customHeight="1" x14ac:dyDescent="0.25">
      <c r="A109" s="14" t="s">
        <v>442</v>
      </c>
      <c r="B109" s="169" t="s">
        <v>361</v>
      </c>
      <c r="C109" s="336"/>
    </row>
    <row r="110" spans="1:3" ht="12" customHeight="1" x14ac:dyDescent="0.25">
      <c r="A110" s="16" t="s">
        <v>443</v>
      </c>
      <c r="B110" s="169" t="s">
        <v>362</v>
      </c>
      <c r="C110" s="336"/>
    </row>
    <row r="111" spans="1:3" ht="12" customHeight="1" x14ac:dyDescent="0.25">
      <c r="A111" s="14" t="s">
        <v>447</v>
      </c>
      <c r="B111" s="11" t="s">
        <v>50</v>
      </c>
      <c r="C111" s="334"/>
    </row>
    <row r="112" spans="1:3" ht="12" customHeight="1" x14ac:dyDescent="0.25">
      <c r="A112" s="14" t="s">
        <v>448</v>
      </c>
      <c r="B112" s="8" t="s">
        <v>450</v>
      </c>
      <c r="C112" s="334"/>
    </row>
    <row r="113" spans="1:3" ht="12" customHeight="1" thickBot="1" x14ac:dyDescent="0.3">
      <c r="A113" s="18" t="s">
        <v>449</v>
      </c>
      <c r="B113" s="536" t="s">
        <v>451</v>
      </c>
      <c r="C113" s="340"/>
    </row>
    <row r="114" spans="1:3" ht="12" customHeight="1" thickBot="1" x14ac:dyDescent="0.3">
      <c r="A114" s="533" t="s">
        <v>19</v>
      </c>
      <c r="B114" s="534" t="s">
        <v>363</v>
      </c>
      <c r="C114" s="535">
        <f>+C115+C117+C119</f>
        <v>0</v>
      </c>
    </row>
    <row r="115" spans="1:3" ht="12" customHeight="1" x14ac:dyDescent="0.25">
      <c r="A115" s="15" t="s">
        <v>106</v>
      </c>
      <c r="B115" s="8" t="s">
        <v>226</v>
      </c>
      <c r="C115" s="335"/>
    </row>
    <row r="116" spans="1:3" ht="12" customHeight="1" x14ac:dyDescent="0.25">
      <c r="A116" s="15" t="s">
        <v>107</v>
      </c>
      <c r="B116" s="12" t="s">
        <v>367</v>
      </c>
      <c r="C116" s="335"/>
    </row>
    <row r="117" spans="1:3" ht="12" customHeight="1" x14ac:dyDescent="0.25">
      <c r="A117" s="15" t="s">
        <v>108</v>
      </c>
      <c r="B117" s="12" t="s">
        <v>185</v>
      </c>
      <c r="C117" s="334"/>
    </row>
    <row r="118" spans="1:3" ht="12" customHeight="1" x14ac:dyDescent="0.25">
      <c r="A118" s="15" t="s">
        <v>109</v>
      </c>
      <c r="B118" s="12" t="s">
        <v>368</v>
      </c>
      <c r="C118" s="299"/>
    </row>
    <row r="119" spans="1:3" ht="12" customHeight="1" x14ac:dyDescent="0.25">
      <c r="A119" s="15" t="s">
        <v>110</v>
      </c>
      <c r="B119" s="329" t="s">
        <v>229</v>
      </c>
      <c r="C119" s="299"/>
    </row>
    <row r="120" spans="1:3" ht="12" customHeight="1" x14ac:dyDescent="0.25">
      <c r="A120" s="15" t="s">
        <v>119</v>
      </c>
      <c r="B120" s="328" t="s">
        <v>432</v>
      </c>
      <c r="C120" s="299"/>
    </row>
    <row r="121" spans="1:3" ht="12" customHeight="1" x14ac:dyDescent="0.25">
      <c r="A121" s="15" t="s">
        <v>121</v>
      </c>
      <c r="B121" s="457" t="s">
        <v>373</v>
      </c>
      <c r="C121" s="299"/>
    </row>
    <row r="122" spans="1:3" x14ac:dyDescent="0.25">
      <c r="A122" s="15" t="s">
        <v>186</v>
      </c>
      <c r="B122" s="168" t="s">
        <v>356</v>
      </c>
      <c r="C122" s="299"/>
    </row>
    <row r="123" spans="1:3" ht="12" customHeight="1" x14ac:dyDescent="0.25">
      <c r="A123" s="15" t="s">
        <v>187</v>
      </c>
      <c r="B123" s="168" t="s">
        <v>372</v>
      </c>
      <c r="C123" s="299"/>
    </row>
    <row r="124" spans="1:3" ht="12" customHeight="1" x14ac:dyDescent="0.25">
      <c r="A124" s="15" t="s">
        <v>188</v>
      </c>
      <c r="B124" s="168" t="s">
        <v>371</v>
      </c>
      <c r="C124" s="299"/>
    </row>
    <row r="125" spans="1:3" ht="12" customHeight="1" x14ac:dyDescent="0.25">
      <c r="A125" s="15" t="s">
        <v>364</v>
      </c>
      <c r="B125" s="168" t="s">
        <v>359</v>
      </c>
      <c r="C125" s="299"/>
    </row>
    <row r="126" spans="1:3" ht="12" customHeight="1" x14ac:dyDescent="0.25">
      <c r="A126" s="15" t="s">
        <v>365</v>
      </c>
      <c r="B126" s="168" t="s">
        <v>370</v>
      </c>
      <c r="C126" s="299"/>
    </row>
    <row r="127" spans="1:3" ht="16.5" thickBot="1" x14ac:dyDescent="0.3">
      <c r="A127" s="13" t="s">
        <v>366</v>
      </c>
      <c r="B127" s="168" t="s">
        <v>369</v>
      </c>
      <c r="C127" s="301"/>
    </row>
    <row r="128" spans="1:3" ht="12" customHeight="1" thickBot="1" x14ac:dyDescent="0.3">
      <c r="A128" s="20" t="s">
        <v>20</v>
      </c>
      <c r="B128" s="150" t="s">
        <v>452</v>
      </c>
      <c r="C128" s="332">
        <f>+C93+C114</f>
        <v>24793206</v>
      </c>
    </row>
    <row r="129" spans="1:3" ht="12" customHeight="1" thickBot="1" x14ac:dyDescent="0.3">
      <c r="A129" s="20" t="s">
        <v>21</v>
      </c>
      <c r="B129" s="150" t="s">
        <v>453</v>
      </c>
      <c r="C129" s="332">
        <f>+C130+C131+C132</f>
        <v>0</v>
      </c>
    </row>
    <row r="130" spans="1:3" ht="12" customHeight="1" x14ac:dyDescent="0.25">
      <c r="A130" s="15" t="s">
        <v>268</v>
      </c>
      <c r="B130" s="12" t="s">
        <v>460</v>
      </c>
      <c r="C130" s="299"/>
    </row>
    <row r="131" spans="1:3" ht="12" customHeight="1" x14ac:dyDescent="0.25">
      <c r="A131" s="15" t="s">
        <v>269</v>
      </c>
      <c r="B131" s="12" t="s">
        <v>461</v>
      </c>
      <c r="C131" s="299"/>
    </row>
    <row r="132" spans="1:3" ht="12" customHeight="1" thickBot="1" x14ac:dyDescent="0.3">
      <c r="A132" s="13" t="s">
        <v>270</v>
      </c>
      <c r="B132" s="12" t="s">
        <v>462</v>
      </c>
      <c r="C132" s="299"/>
    </row>
    <row r="133" spans="1:3" ht="12" customHeight="1" thickBot="1" x14ac:dyDescent="0.3">
      <c r="A133" s="20" t="s">
        <v>22</v>
      </c>
      <c r="B133" s="150" t="s">
        <v>454</v>
      </c>
      <c r="C133" s="332">
        <f>SUM(C134:C139)</f>
        <v>0</v>
      </c>
    </row>
    <row r="134" spans="1:3" ht="12" customHeight="1" x14ac:dyDescent="0.25">
      <c r="A134" s="15" t="s">
        <v>93</v>
      </c>
      <c r="B134" s="9" t="s">
        <v>463</v>
      </c>
      <c r="C134" s="299"/>
    </row>
    <row r="135" spans="1:3" ht="12" customHeight="1" x14ac:dyDescent="0.25">
      <c r="A135" s="15" t="s">
        <v>94</v>
      </c>
      <c r="B135" s="9" t="s">
        <v>455</v>
      </c>
      <c r="C135" s="299"/>
    </row>
    <row r="136" spans="1:3" ht="12" customHeight="1" x14ac:dyDescent="0.25">
      <c r="A136" s="15" t="s">
        <v>95</v>
      </c>
      <c r="B136" s="9" t="s">
        <v>456</v>
      </c>
      <c r="C136" s="299"/>
    </row>
    <row r="137" spans="1:3" ht="12" customHeight="1" x14ac:dyDescent="0.25">
      <c r="A137" s="15" t="s">
        <v>173</v>
      </c>
      <c r="B137" s="9" t="s">
        <v>457</v>
      </c>
      <c r="C137" s="299"/>
    </row>
    <row r="138" spans="1:3" ht="12" customHeight="1" x14ac:dyDescent="0.25">
      <c r="A138" s="15" t="s">
        <v>174</v>
      </c>
      <c r="B138" s="9" t="s">
        <v>458</v>
      </c>
      <c r="C138" s="299"/>
    </row>
    <row r="139" spans="1:3" ht="12" customHeight="1" thickBot="1" x14ac:dyDescent="0.3">
      <c r="A139" s="13" t="s">
        <v>175</v>
      </c>
      <c r="B139" s="9" t="s">
        <v>459</v>
      </c>
      <c r="C139" s="299"/>
    </row>
    <row r="140" spans="1:3" ht="12" customHeight="1" thickBot="1" x14ac:dyDescent="0.3">
      <c r="A140" s="20" t="s">
        <v>23</v>
      </c>
      <c r="B140" s="150" t="s">
        <v>467</v>
      </c>
      <c r="C140" s="338">
        <f>+C141+C142+C143+C144</f>
        <v>0</v>
      </c>
    </row>
    <row r="141" spans="1:3" ht="12" customHeight="1" x14ac:dyDescent="0.25">
      <c r="A141" s="15" t="s">
        <v>96</v>
      </c>
      <c r="B141" s="9" t="s">
        <v>374</v>
      </c>
      <c r="C141" s="299"/>
    </row>
    <row r="142" spans="1:3" ht="12" customHeight="1" x14ac:dyDescent="0.25">
      <c r="A142" s="15" t="s">
        <v>97</v>
      </c>
      <c r="B142" s="9" t="s">
        <v>375</v>
      </c>
      <c r="C142" s="299"/>
    </row>
    <row r="143" spans="1:3" ht="12" customHeight="1" x14ac:dyDescent="0.25">
      <c r="A143" s="15" t="s">
        <v>288</v>
      </c>
      <c r="B143" s="9" t="s">
        <v>468</v>
      </c>
      <c r="C143" s="299"/>
    </row>
    <row r="144" spans="1:3" ht="12" customHeight="1" thickBot="1" x14ac:dyDescent="0.3">
      <c r="A144" s="13" t="s">
        <v>289</v>
      </c>
      <c r="B144" s="7" t="s">
        <v>394</v>
      </c>
      <c r="C144" s="299"/>
    </row>
    <row r="145" spans="1:9" ht="12" customHeight="1" thickBot="1" x14ac:dyDescent="0.3">
      <c r="A145" s="20" t="s">
        <v>24</v>
      </c>
      <c r="B145" s="150" t="s">
        <v>469</v>
      </c>
      <c r="C145" s="341">
        <f>SUM(C146:C150)</f>
        <v>0</v>
      </c>
    </row>
    <row r="146" spans="1:9" ht="12" customHeight="1" x14ac:dyDescent="0.25">
      <c r="A146" s="15" t="s">
        <v>98</v>
      </c>
      <c r="B146" s="9" t="s">
        <v>464</v>
      </c>
      <c r="C146" s="299"/>
    </row>
    <row r="147" spans="1:9" ht="12" customHeight="1" x14ac:dyDescent="0.25">
      <c r="A147" s="15" t="s">
        <v>99</v>
      </c>
      <c r="B147" s="9" t="s">
        <v>471</v>
      </c>
      <c r="C147" s="299"/>
    </row>
    <row r="148" spans="1:9" ht="12" customHeight="1" x14ac:dyDescent="0.25">
      <c r="A148" s="15" t="s">
        <v>300</v>
      </c>
      <c r="B148" s="9" t="s">
        <v>466</v>
      </c>
      <c r="C148" s="299"/>
    </row>
    <row r="149" spans="1:9" ht="12" customHeight="1" x14ac:dyDescent="0.25">
      <c r="A149" s="15" t="s">
        <v>301</v>
      </c>
      <c r="B149" s="9" t="s">
        <v>472</v>
      </c>
      <c r="C149" s="299"/>
    </row>
    <row r="150" spans="1:9" ht="12" customHeight="1" thickBot="1" x14ac:dyDescent="0.3">
      <c r="A150" s="15" t="s">
        <v>470</v>
      </c>
      <c r="B150" s="9" t="s">
        <v>473</v>
      </c>
      <c r="C150" s="299"/>
    </row>
    <row r="151" spans="1:9" ht="12" customHeight="1" thickBot="1" x14ac:dyDescent="0.3">
      <c r="A151" s="20" t="s">
        <v>25</v>
      </c>
      <c r="B151" s="150" t="s">
        <v>474</v>
      </c>
      <c r="C151" s="537"/>
    </row>
    <row r="152" spans="1:9" ht="12" customHeight="1" thickBot="1" x14ac:dyDescent="0.3">
      <c r="A152" s="20" t="s">
        <v>26</v>
      </c>
      <c r="B152" s="150" t="s">
        <v>475</v>
      </c>
      <c r="C152" s="537"/>
    </row>
    <row r="153" spans="1:9" ht="15" customHeight="1" thickBot="1" x14ac:dyDescent="0.3">
      <c r="A153" s="20" t="s">
        <v>27</v>
      </c>
      <c r="B153" s="150" t="s">
        <v>477</v>
      </c>
      <c r="C153" s="471">
        <f>+C129+C133+C140+C145+C151+C152</f>
        <v>0</v>
      </c>
      <c r="F153" s="472"/>
      <c r="G153" s="473"/>
      <c r="H153" s="473"/>
      <c r="I153" s="473"/>
    </row>
    <row r="154" spans="1:9" s="460" customFormat="1" ht="12.95" customHeight="1" thickBot="1" x14ac:dyDescent="0.25">
      <c r="A154" s="330" t="s">
        <v>28</v>
      </c>
      <c r="B154" s="423" t="s">
        <v>476</v>
      </c>
      <c r="C154" s="471">
        <f>+C128+C153</f>
        <v>24793206</v>
      </c>
    </row>
    <row r="155" spans="1:9" ht="7.5" customHeight="1" x14ac:dyDescent="0.25"/>
    <row r="156" spans="1:9" x14ac:dyDescent="0.25">
      <c r="A156" s="673" t="s">
        <v>376</v>
      </c>
      <c r="B156" s="673"/>
      <c r="C156" s="673"/>
    </row>
    <row r="157" spans="1:9" ht="15" customHeight="1" thickBot="1" x14ac:dyDescent="0.3">
      <c r="A157" s="671" t="s">
        <v>155</v>
      </c>
      <c r="B157" s="671"/>
      <c r="C157" s="342" t="s">
        <v>227</v>
      </c>
    </row>
    <row r="158" spans="1:9" ht="13.5" customHeight="1" thickBot="1" x14ac:dyDescent="0.3">
      <c r="A158" s="20">
        <v>1</v>
      </c>
      <c r="B158" s="30" t="s">
        <v>478</v>
      </c>
      <c r="C158" s="332">
        <f>+C62-C128</f>
        <v>-24793206</v>
      </c>
      <c r="D158" s="474"/>
    </row>
    <row r="159" spans="1:9" ht="27.75" customHeight="1" thickBot="1" x14ac:dyDescent="0.3">
      <c r="A159" s="20" t="s">
        <v>19</v>
      </c>
      <c r="B159" s="30" t="s">
        <v>575</v>
      </c>
      <c r="C159" s="332">
        <f>+C86-C153</f>
        <v>0</v>
      </c>
    </row>
  </sheetData>
  <mergeCells count="6">
    <mergeCell ref="A157:B157"/>
    <mergeCell ref="A1:C1"/>
    <mergeCell ref="A2:B2"/>
    <mergeCell ref="A89:C89"/>
    <mergeCell ref="A90:B90"/>
    <mergeCell ref="A156:C156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2017. ÉVI KÖLTSÉGVETÉS
ÁLLAMIGAZGATÁSI FELADATAINAK MÉRLEGE
&amp;R&amp;"Times New Roman CE,Félkövér dőlt"&amp;11 1.4. melléklet a 6/2017. (III. 13.) önkormányzati rendelethez</oddHeader>
  </headerFooter>
  <rowBreaks count="1" manualBreakCount="1">
    <brk id="87" max="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33"/>
  <sheetViews>
    <sheetView view="pageBreakPreview" zoomScaleNormal="115" zoomScaleSheetLayoutView="100" workbookViewId="0">
      <selection activeCell="C6" sqref="C6:E32"/>
    </sheetView>
  </sheetViews>
  <sheetFormatPr defaultRowHeight="12.75" x14ac:dyDescent="0.2"/>
  <cols>
    <col min="1" max="1" width="6.83203125" style="61" customWidth="1"/>
    <col min="2" max="2" width="55.1640625" style="215" customWidth="1"/>
    <col min="3" max="3" width="16.33203125" style="61" customWidth="1"/>
    <col min="4" max="4" width="55.1640625" style="61" customWidth="1"/>
    <col min="5" max="5" width="16.33203125" style="61" customWidth="1"/>
    <col min="6" max="6" width="4.83203125" style="61" customWidth="1"/>
    <col min="7" max="7" width="9.33203125" style="61"/>
    <col min="8" max="8" width="10.33203125" style="61" bestFit="1" customWidth="1"/>
    <col min="9" max="16384" width="9.33203125" style="61"/>
  </cols>
  <sheetData>
    <row r="1" spans="1:8" ht="39.75" customHeight="1" x14ac:dyDescent="0.2">
      <c r="B1" s="354" t="s">
        <v>159</v>
      </c>
      <c r="C1" s="355"/>
      <c r="D1" s="355"/>
      <c r="E1" s="355"/>
      <c r="F1" s="676" t="str">
        <f>+CONCATENATE("2.1. melléklet a 6/",LEFT(ÖSSZEFÜGGÉSEK!A5,4),". (III. 13.) önkormányzati rendelethez")</f>
        <v>2.1. melléklet a 6/2017. (III. 13.) önkormányzati rendelethez</v>
      </c>
    </row>
    <row r="2" spans="1:8" ht="14.25" thickBot="1" x14ac:dyDescent="0.25">
      <c r="E2" s="356" t="s">
        <v>578</v>
      </c>
      <c r="F2" s="676"/>
    </row>
    <row r="3" spans="1:8" ht="18" customHeight="1" thickBot="1" x14ac:dyDescent="0.25">
      <c r="A3" s="674" t="s">
        <v>71</v>
      </c>
      <c r="B3" s="357" t="s">
        <v>57</v>
      </c>
      <c r="C3" s="358"/>
      <c r="D3" s="357" t="s">
        <v>58</v>
      </c>
      <c r="E3" s="359"/>
      <c r="F3" s="676"/>
    </row>
    <row r="4" spans="1:8" s="360" customFormat="1" ht="35.25" customHeight="1" thickBot="1" x14ac:dyDescent="0.25">
      <c r="A4" s="675"/>
      <c r="B4" s="216" t="s">
        <v>63</v>
      </c>
      <c r="C4" s="217" t="str">
        <f>+'1.1.sz.mell.'!C3</f>
        <v>2017. évi előirányzat</v>
      </c>
      <c r="D4" s="216" t="s">
        <v>63</v>
      </c>
      <c r="E4" s="58" t="str">
        <f>+C4</f>
        <v>2017. évi előirányzat</v>
      </c>
      <c r="F4" s="676"/>
    </row>
    <row r="5" spans="1:8" s="365" customFormat="1" ht="12" customHeight="1" thickBot="1" x14ac:dyDescent="0.25">
      <c r="A5" s="361"/>
      <c r="B5" s="362" t="s">
        <v>496</v>
      </c>
      <c r="C5" s="363" t="s">
        <v>497</v>
      </c>
      <c r="D5" s="362" t="s">
        <v>498</v>
      </c>
      <c r="E5" s="364" t="s">
        <v>500</v>
      </c>
      <c r="F5" s="676"/>
    </row>
    <row r="6" spans="1:8" ht="12.95" customHeight="1" x14ac:dyDescent="0.2">
      <c r="A6" s="366" t="s">
        <v>18</v>
      </c>
      <c r="B6" s="367" t="s">
        <v>377</v>
      </c>
      <c r="C6" s="343">
        <f>'1.1.sz.mell.'!C5</f>
        <v>518175431</v>
      </c>
      <c r="D6" s="367" t="s">
        <v>64</v>
      </c>
      <c r="E6" s="349">
        <f>'1.1.sz.mell.'!C94</f>
        <v>610079831</v>
      </c>
      <c r="F6" s="676"/>
    </row>
    <row r="7" spans="1:8" ht="12.95" customHeight="1" x14ac:dyDescent="0.2">
      <c r="A7" s="368" t="s">
        <v>19</v>
      </c>
      <c r="B7" s="369" t="s">
        <v>378</v>
      </c>
      <c r="C7" s="343">
        <f>'1.1.sz.mell.'!C12</f>
        <v>511984666</v>
      </c>
      <c r="D7" s="369" t="s">
        <v>181</v>
      </c>
      <c r="E7" s="349">
        <f>'1.1.sz.mell.'!C95</f>
        <v>116072917</v>
      </c>
      <c r="F7" s="676"/>
    </row>
    <row r="8" spans="1:8" ht="12.95" customHeight="1" x14ac:dyDescent="0.2">
      <c r="A8" s="368" t="s">
        <v>20</v>
      </c>
      <c r="B8" s="369" t="s">
        <v>399</v>
      </c>
      <c r="C8" s="344"/>
      <c r="D8" s="369" t="s">
        <v>232</v>
      </c>
      <c r="E8" s="349">
        <f>'1.1.sz.mell.'!C96</f>
        <v>526726102</v>
      </c>
      <c r="F8" s="676"/>
      <c r="H8" s="61">
        <v>67800000</v>
      </c>
    </row>
    <row r="9" spans="1:8" ht="12.95" customHeight="1" x14ac:dyDescent="0.2">
      <c r="A9" s="368" t="s">
        <v>21</v>
      </c>
      <c r="B9" s="369" t="s">
        <v>172</v>
      </c>
      <c r="C9" s="344">
        <f>'1.1.sz.mell.'!C26</f>
        <v>100808000</v>
      </c>
      <c r="D9" s="369" t="s">
        <v>182</v>
      </c>
      <c r="E9" s="349">
        <f>'1.1.sz.mell.'!C97</f>
        <v>24760000</v>
      </c>
      <c r="F9" s="676"/>
      <c r="H9" s="61">
        <v>40000</v>
      </c>
    </row>
    <row r="10" spans="1:8" ht="12.95" customHeight="1" x14ac:dyDescent="0.2">
      <c r="A10" s="368" t="s">
        <v>22</v>
      </c>
      <c r="B10" s="370" t="s">
        <v>425</v>
      </c>
      <c r="C10" s="344">
        <f>'1.1.sz.mell.'!C34</f>
        <v>105549299</v>
      </c>
      <c r="D10" s="369" t="s">
        <v>183</v>
      </c>
      <c r="E10" s="349">
        <f>'1.1.sz.mell.'!C98</f>
        <v>31448115</v>
      </c>
      <c r="F10" s="676"/>
      <c r="H10" s="61">
        <v>13500000</v>
      </c>
    </row>
    <row r="11" spans="1:8" ht="12.95" customHeight="1" x14ac:dyDescent="0.2">
      <c r="A11" s="368" t="s">
        <v>23</v>
      </c>
      <c r="B11" s="369" t="s">
        <v>379</v>
      </c>
      <c r="C11" s="345">
        <f>'1.1.sz.mell.'!C52</f>
        <v>0</v>
      </c>
      <c r="D11" s="369" t="s">
        <v>50</v>
      </c>
      <c r="E11" s="349">
        <f>'1.1.sz.mell.'!C111</f>
        <v>6764217</v>
      </c>
      <c r="F11" s="676"/>
      <c r="H11" s="61">
        <v>15200000</v>
      </c>
    </row>
    <row r="12" spans="1:8" ht="12.95" customHeight="1" x14ac:dyDescent="0.2">
      <c r="A12" s="368" t="s">
        <v>24</v>
      </c>
      <c r="B12" s="369" t="s">
        <v>484</v>
      </c>
      <c r="C12" s="344"/>
      <c r="D12" s="51"/>
      <c r="E12" s="350"/>
      <c r="F12" s="676"/>
      <c r="H12" s="61">
        <f>SUM(H8:H11)</f>
        <v>96540000</v>
      </c>
    </row>
    <row r="13" spans="1:8" ht="12.95" customHeight="1" x14ac:dyDescent="0.2">
      <c r="A13" s="368" t="s">
        <v>25</v>
      </c>
      <c r="B13" s="51"/>
      <c r="C13" s="344"/>
      <c r="D13" s="51"/>
      <c r="E13" s="350"/>
      <c r="F13" s="676"/>
    </row>
    <row r="14" spans="1:8" ht="12.95" customHeight="1" x14ac:dyDescent="0.2">
      <c r="A14" s="368" t="s">
        <v>26</v>
      </c>
      <c r="B14" s="475"/>
      <c r="C14" s="345"/>
      <c r="D14" s="51"/>
      <c r="E14" s="350"/>
      <c r="F14" s="676"/>
    </row>
    <row r="15" spans="1:8" ht="12.95" customHeight="1" x14ac:dyDescent="0.2">
      <c r="A15" s="368" t="s">
        <v>27</v>
      </c>
      <c r="B15" s="51"/>
      <c r="C15" s="344"/>
      <c r="D15" s="51"/>
      <c r="E15" s="350"/>
      <c r="F15" s="676"/>
    </row>
    <row r="16" spans="1:8" ht="12.95" customHeight="1" x14ac:dyDescent="0.2">
      <c r="A16" s="368" t="s">
        <v>28</v>
      </c>
      <c r="B16" s="51"/>
      <c r="C16" s="344"/>
      <c r="D16" s="51"/>
      <c r="E16" s="350"/>
      <c r="F16" s="676"/>
    </row>
    <row r="17" spans="1:6" ht="12.95" customHeight="1" thickBot="1" x14ac:dyDescent="0.25">
      <c r="A17" s="368" t="s">
        <v>29</v>
      </c>
      <c r="B17" s="63"/>
      <c r="C17" s="346"/>
      <c r="D17" s="51"/>
      <c r="E17" s="351"/>
      <c r="F17" s="676"/>
    </row>
    <row r="18" spans="1:6" ht="15.95" customHeight="1" thickBot="1" x14ac:dyDescent="0.25">
      <c r="A18" s="371" t="s">
        <v>30</v>
      </c>
      <c r="B18" s="152" t="s">
        <v>485</v>
      </c>
      <c r="C18" s="347">
        <f>SUM(C6:C17)</f>
        <v>1236517396</v>
      </c>
      <c r="D18" s="152" t="s">
        <v>385</v>
      </c>
      <c r="E18" s="352">
        <f>SUM(E6:E17)</f>
        <v>1315851182</v>
      </c>
      <c r="F18" s="676"/>
    </row>
    <row r="19" spans="1:6" ht="12.95" customHeight="1" x14ac:dyDescent="0.2">
      <c r="A19" s="372" t="s">
        <v>31</v>
      </c>
      <c r="B19" s="373" t="s">
        <v>382</v>
      </c>
      <c r="C19" s="539">
        <f>+C20+C21+C22+C23</f>
        <v>97476934</v>
      </c>
      <c r="D19" s="374" t="s">
        <v>189</v>
      </c>
      <c r="E19" s="353"/>
      <c r="F19" s="676"/>
    </row>
    <row r="20" spans="1:6" ht="12.95" customHeight="1" x14ac:dyDescent="0.2">
      <c r="A20" s="375" t="s">
        <v>32</v>
      </c>
      <c r="B20" s="374" t="s">
        <v>224</v>
      </c>
      <c r="C20" s="96">
        <f>28842218+18143148-3329359-98000+68946228-610000+2653927+109000-6916817-11066839</f>
        <v>96673506</v>
      </c>
      <c r="D20" s="374" t="s">
        <v>384</v>
      </c>
      <c r="E20" s="97"/>
      <c r="F20" s="676"/>
    </row>
    <row r="21" spans="1:6" ht="12.95" customHeight="1" x14ac:dyDescent="0.2">
      <c r="A21" s="375" t="s">
        <v>33</v>
      </c>
      <c r="B21" s="374" t="s">
        <v>225</v>
      </c>
      <c r="C21" s="96">
        <f>+'1.1.sz.mell.'!C74</f>
        <v>803428</v>
      </c>
      <c r="D21" s="374" t="s">
        <v>157</v>
      </c>
      <c r="E21" s="97"/>
      <c r="F21" s="676"/>
    </row>
    <row r="22" spans="1:6" ht="12.95" customHeight="1" x14ac:dyDescent="0.2">
      <c r="A22" s="375" t="s">
        <v>34</v>
      </c>
      <c r="B22" s="374" t="s">
        <v>230</v>
      </c>
      <c r="C22" s="96"/>
      <c r="D22" s="374" t="s">
        <v>158</v>
      </c>
      <c r="E22" s="97"/>
      <c r="F22" s="676"/>
    </row>
    <row r="23" spans="1:6" ht="12.95" customHeight="1" x14ac:dyDescent="0.2">
      <c r="A23" s="375" t="s">
        <v>35</v>
      </c>
      <c r="B23" s="374" t="s">
        <v>231</v>
      </c>
      <c r="C23" s="96"/>
      <c r="D23" s="373" t="s">
        <v>233</v>
      </c>
      <c r="E23" s="97"/>
      <c r="F23" s="676"/>
    </row>
    <row r="24" spans="1:6" ht="12.95" customHeight="1" x14ac:dyDescent="0.2">
      <c r="A24" s="375" t="s">
        <v>36</v>
      </c>
      <c r="B24" s="374" t="s">
        <v>383</v>
      </c>
      <c r="C24" s="376">
        <f>+C25+C26</f>
        <v>0</v>
      </c>
      <c r="D24" s="374" t="s">
        <v>190</v>
      </c>
      <c r="E24" s="97"/>
      <c r="F24" s="676"/>
    </row>
    <row r="25" spans="1:6" ht="12.95" customHeight="1" x14ac:dyDescent="0.2">
      <c r="A25" s="372" t="s">
        <v>37</v>
      </c>
      <c r="B25" s="373" t="s">
        <v>380</v>
      </c>
      <c r="C25" s="348"/>
      <c r="D25" s="367" t="s">
        <v>468</v>
      </c>
      <c r="E25" s="353"/>
      <c r="F25" s="676"/>
    </row>
    <row r="26" spans="1:6" ht="12.95" customHeight="1" x14ac:dyDescent="0.2">
      <c r="A26" s="375" t="s">
        <v>38</v>
      </c>
      <c r="B26" s="374" t="s">
        <v>381</v>
      </c>
      <c r="C26" s="96"/>
      <c r="D26" s="369" t="s">
        <v>474</v>
      </c>
      <c r="E26" s="97"/>
      <c r="F26" s="676"/>
    </row>
    <row r="27" spans="1:6" ht="12.95" customHeight="1" x14ac:dyDescent="0.2">
      <c r="A27" s="368" t="s">
        <v>39</v>
      </c>
      <c r="B27" s="374" t="s">
        <v>479</v>
      </c>
      <c r="C27" s="96"/>
      <c r="D27" s="369" t="s">
        <v>475</v>
      </c>
      <c r="E27" s="97"/>
      <c r="F27" s="676"/>
    </row>
    <row r="28" spans="1:6" ht="12.95" customHeight="1" thickBot="1" x14ac:dyDescent="0.25">
      <c r="A28" s="437" t="s">
        <v>40</v>
      </c>
      <c r="B28" s="373" t="s">
        <v>338</v>
      </c>
      <c r="C28" s="348"/>
      <c r="D28" s="477" t="s">
        <v>375</v>
      </c>
      <c r="E28" s="353">
        <v>18143148</v>
      </c>
      <c r="F28" s="676"/>
    </row>
    <row r="29" spans="1:6" ht="22.5" customHeight="1" thickBot="1" x14ac:dyDescent="0.25">
      <c r="A29" s="371" t="s">
        <v>41</v>
      </c>
      <c r="B29" s="152" t="s">
        <v>486</v>
      </c>
      <c r="C29" s="347">
        <f>+C19+C24+C27+C28</f>
        <v>97476934</v>
      </c>
      <c r="D29" s="152" t="s">
        <v>488</v>
      </c>
      <c r="E29" s="352">
        <f>SUM(E19:E28)</f>
        <v>18143148</v>
      </c>
      <c r="F29" s="676"/>
    </row>
    <row r="30" spans="1:6" ht="13.5" thickBot="1" x14ac:dyDescent="0.25">
      <c r="A30" s="371" t="s">
        <v>42</v>
      </c>
      <c r="B30" s="377" t="s">
        <v>487</v>
      </c>
      <c r="C30" s="378">
        <f>+C18+C29</f>
        <v>1333994330</v>
      </c>
      <c r="D30" s="377" t="s">
        <v>489</v>
      </c>
      <c r="E30" s="378">
        <f>+E18+E29</f>
        <v>1333994330</v>
      </c>
      <c r="F30" s="676"/>
    </row>
    <row r="31" spans="1:6" ht="13.5" thickBot="1" x14ac:dyDescent="0.25">
      <c r="A31" s="371" t="s">
        <v>43</v>
      </c>
      <c r="B31" s="377" t="s">
        <v>167</v>
      </c>
      <c r="C31" s="378">
        <f>IF(C18-E18&lt;0,E18-C18,"-")</f>
        <v>79333786</v>
      </c>
      <c r="D31" s="377" t="s">
        <v>168</v>
      </c>
      <c r="E31" s="378" t="str">
        <f>IF(C18-E18&gt;0,C18-E18,"-")</f>
        <v>-</v>
      </c>
      <c r="F31" s="676"/>
    </row>
    <row r="32" spans="1:6" ht="13.5" thickBot="1" x14ac:dyDescent="0.25">
      <c r="A32" s="371" t="s">
        <v>44</v>
      </c>
      <c r="B32" s="377" t="s">
        <v>234</v>
      </c>
      <c r="C32" s="378" t="str">
        <f>IF(C18+C29-E30&lt;0,E30-(C18+C29),"-")</f>
        <v>-</v>
      </c>
      <c r="D32" s="377" t="s">
        <v>235</v>
      </c>
      <c r="E32" s="378" t="str">
        <f>IF(C18+C29-E30&gt;0,C18+C29-E30,"-")</f>
        <v>-</v>
      </c>
      <c r="F32" s="676"/>
    </row>
    <row r="33" spans="2:4" ht="18.75" x14ac:dyDescent="0.2">
      <c r="B33" s="677"/>
      <c r="C33" s="677"/>
      <c r="D33" s="677"/>
    </row>
  </sheetData>
  <mergeCells count="3">
    <mergeCell ref="A3:A4"/>
    <mergeCell ref="F1:F32"/>
    <mergeCell ref="B33:D33"/>
  </mergeCells>
  <phoneticPr fontId="0" type="noConversion"/>
  <printOptions horizontalCentered="1"/>
  <pageMargins left="0.33" right="0.48" top="0.9055118110236221" bottom="0.5" header="0.6692913385826772" footer="0.28000000000000003"/>
  <pageSetup paperSize="9" orientation="landscape" r:id="rId1"/>
  <headerFooter alignWithMargins="0">
    <oddHeader xml:space="preserve">&amp;R&amp;"Times New Roman CE,Félkövér dőlt"&amp;11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3"/>
  <sheetViews>
    <sheetView view="pageBreakPreview" zoomScale="115" zoomScaleNormal="100" zoomScaleSheetLayoutView="115" workbookViewId="0">
      <selection activeCell="C6" sqref="C6:E33"/>
    </sheetView>
  </sheetViews>
  <sheetFormatPr defaultRowHeight="12.75" x14ac:dyDescent="0.2"/>
  <cols>
    <col min="1" max="1" width="6.83203125" style="61" customWidth="1"/>
    <col min="2" max="2" width="55.1640625" style="215" customWidth="1"/>
    <col min="3" max="3" width="16.33203125" style="61" customWidth="1"/>
    <col min="4" max="4" width="55.1640625" style="61" customWidth="1"/>
    <col min="5" max="5" width="16.33203125" style="61" customWidth="1"/>
    <col min="6" max="6" width="4.83203125" style="61" customWidth="1"/>
    <col min="7" max="16384" width="9.33203125" style="61"/>
  </cols>
  <sheetData>
    <row r="1" spans="1:6" ht="31.5" x14ac:dyDescent="0.2">
      <c r="B1" s="354" t="s">
        <v>160</v>
      </c>
      <c r="C1" s="355"/>
      <c r="D1" s="355"/>
      <c r="E1" s="355"/>
      <c r="F1" s="676" t="str">
        <f>+CONCATENATE("2.2. melléklet a 6/",LEFT(ÖSSZEFÜGGÉSEK!A5,4),". (III. 13.) önkormányzati rendelethez")</f>
        <v>2.2. melléklet a 6/2017. (III. 13.) önkormányzati rendelethez</v>
      </c>
    </row>
    <row r="2" spans="1:6" ht="14.25" thickBot="1" x14ac:dyDescent="0.25">
      <c r="E2" s="356" t="s">
        <v>648</v>
      </c>
      <c r="F2" s="676"/>
    </row>
    <row r="3" spans="1:6" ht="13.5" thickBot="1" x14ac:dyDescent="0.25">
      <c r="A3" s="678" t="s">
        <v>71</v>
      </c>
      <c r="B3" s="357" t="s">
        <v>57</v>
      </c>
      <c r="C3" s="358"/>
      <c r="D3" s="357" t="s">
        <v>58</v>
      </c>
      <c r="E3" s="359"/>
      <c r="F3" s="676"/>
    </row>
    <row r="4" spans="1:6" s="360" customFormat="1" ht="24.75" thickBot="1" x14ac:dyDescent="0.25">
      <c r="A4" s="679"/>
      <c r="B4" s="216" t="s">
        <v>63</v>
      </c>
      <c r="C4" s="217" t="str">
        <f>+'2.1.sz.mell  '!C4</f>
        <v>2017. évi előirányzat</v>
      </c>
      <c r="D4" s="216" t="s">
        <v>63</v>
      </c>
      <c r="E4" s="217" t="str">
        <f>+'2.1.sz.mell  '!C4</f>
        <v>2017. évi előirányzat</v>
      </c>
      <c r="F4" s="676"/>
    </row>
    <row r="5" spans="1:6" s="360" customFormat="1" ht="13.5" thickBot="1" x14ac:dyDescent="0.25">
      <c r="A5" s="361"/>
      <c r="B5" s="362" t="s">
        <v>496</v>
      </c>
      <c r="C5" s="363" t="s">
        <v>497</v>
      </c>
      <c r="D5" s="362" t="s">
        <v>498</v>
      </c>
      <c r="E5" s="364" t="s">
        <v>500</v>
      </c>
      <c r="F5" s="676"/>
    </row>
    <row r="6" spans="1:6" ht="12.95" customHeight="1" x14ac:dyDescent="0.2">
      <c r="A6" s="366" t="s">
        <v>18</v>
      </c>
      <c r="B6" s="367" t="s">
        <v>386</v>
      </c>
      <c r="C6" s="343">
        <f>'1.1.sz.mell.'!C19</f>
        <v>445842552</v>
      </c>
      <c r="D6" s="367" t="s">
        <v>226</v>
      </c>
      <c r="E6" s="349">
        <f>'1.1.sz.mell.'!C115</f>
        <v>553690917</v>
      </c>
      <c r="F6" s="676"/>
    </row>
    <row r="7" spans="1:6" x14ac:dyDescent="0.2">
      <c r="A7" s="368" t="s">
        <v>19</v>
      </c>
      <c r="B7" s="369" t="s">
        <v>387</v>
      </c>
      <c r="C7" s="344"/>
      <c r="D7" s="369" t="s">
        <v>392</v>
      </c>
      <c r="E7" s="350"/>
      <c r="F7" s="676"/>
    </row>
    <row r="8" spans="1:6" ht="12.95" customHeight="1" x14ac:dyDescent="0.2">
      <c r="A8" s="368" t="s">
        <v>20</v>
      </c>
      <c r="B8" s="369" t="s">
        <v>9</v>
      </c>
      <c r="C8" s="344">
        <f>'1.1.sz.mell.'!C46</f>
        <v>34300110</v>
      </c>
      <c r="D8" s="369" t="s">
        <v>185</v>
      </c>
      <c r="E8" s="350">
        <f>'1.1.sz.mell.'!C117</f>
        <v>46749047</v>
      </c>
      <c r="F8" s="676"/>
    </row>
    <row r="9" spans="1:6" ht="12.95" customHeight="1" x14ac:dyDescent="0.2">
      <c r="A9" s="368" t="s">
        <v>21</v>
      </c>
      <c r="B9" s="369" t="s">
        <v>388</v>
      </c>
      <c r="C9" s="344">
        <f>'1.1.sz.mell.'!C57</f>
        <v>810000</v>
      </c>
      <c r="D9" s="369" t="s">
        <v>393</v>
      </c>
      <c r="E9" s="350"/>
      <c r="F9" s="676"/>
    </row>
    <row r="10" spans="1:6" ht="12.75" customHeight="1" x14ac:dyDescent="0.2">
      <c r="A10" s="368" t="s">
        <v>22</v>
      </c>
      <c r="B10" s="369" t="s">
        <v>389</v>
      </c>
      <c r="C10" s="344"/>
      <c r="D10" s="369" t="s">
        <v>229</v>
      </c>
      <c r="E10" s="350">
        <f>'1.1.sz.mell.'!C119</f>
        <v>0</v>
      </c>
      <c r="F10" s="676"/>
    </row>
    <row r="11" spans="1:6" ht="12.95" customHeight="1" x14ac:dyDescent="0.2">
      <c r="A11" s="368" t="s">
        <v>23</v>
      </c>
      <c r="B11" s="369" t="s">
        <v>390</v>
      </c>
      <c r="C11" s="345"/>
      <c r="D11" s="478"/>
      <c r="E11" s="350"/>
      <c r="F11" s="676"/>
    </row>
    <row r="12" spans="1:6" ht="12.95" customHeight="1" x14ac:dyDescent="0.2">
      <c r="A12" s="368" t="s">
        <v>24</v>
      </c>
      <c r="B12" s="51"/>
      <c r="C12" s="344"/>
      <c r="D12" s="478"/>
      <c r="E12" s="350"/>
      <c r="F12" s="676"/>
    </row>
    <row r="13" spans="1:6" ht="12.95" customHeight="1" x14ac:dyDescent="0.2">
      <c r="A13" s="368" t="s">
        <v>25</v>
      </c>
      <c r="B13" s="51"/>
      <c r="C13" s="344"/>
      <c r="D13" s="479"/>
      <c r="E13" s="350"/>
      <c r="F13" s="676"/>
    </row>
    <row r="14" spans="1:6" ht="12.95" customHeight="1" x14ac:dyDescent="0.2">
      <c r="A14" s="368" t="s">
        <v>26</v>
      </c>
      <c r="B14" s="476"/>
      <c r="C14" s="345"/>
      <c r="D14" s="478"/>
      <c r="E14" s="350"/>
      <c r="F14" s="676"/>
    </row>
    <row r="15" spans="1:6" x14ac:dyDescent="0.2">
      <c r="A15" s="368" t="s">
        <v>27</v>
      </c>
      <c r="B15" s="51"/>
      <c r="C15" s="345"/>
      <c r="D15" s="478"/>
      <c r="E15" s="350"/>
      <c r="F15" s="676"/>
    </row>
    <row r="16" spans="1:6" ht="12.95" customHeight="1" thickBot="1" x14ac:dyDescent="0.25">
      <c r="A16" s="437" t="s">
        <v>28</v>
      </c>
      <c r="B16" s="477"/>
      <c r="C16" s="439"/>
      <c r="D16" s="438" t="s">
        <v>50</v>
      </c>
      <c r="E16" s="399"/>
      <c r="F16" s="676"/>
    </row>
    <row r="17" spans="1:6" ht="15.95" customHeight="1" thickBot="1" x14ac:dyDescent="0.25">
      <c r="A17" s="371" t="s">
        <v>29</v>
      </c>
      <c r="B17" s="152" t="s">
        <v>400</v>
      </c>
      <c r="C17" s="347">
        <f>+C6+C8+C9+C11+C12+C13+C14+C15+C16</f>
        <v>480952662</v>
      </c>
      <c r="D17" s="152" t="s">
        <v>401</v>
      </c>
      <c r="E17" s="352">
        <f>+E6+E8+E10+E11+E12+E13+E14+E15+E16</f>
        <v>600439964</v>
      </c>
      <c r="F17" s="676"/>
    </row>
    <row r="18" spans="1:6" ht="12.95" customHeight="1" x14ac:dyDescent="0.2">
      <c r="A18" s="366" t="s">
        <v>30</v>
      </c>
      <c r="B18" s="381" t="s">
        <v>247</v>
      </c>
      <c r="C18" s="388">
        <f>+C19+C20+C21+C22+C23</f>
        <v>94076591</v>
      </c>
      <c r="D18" s="374" t="s">
        <v>189</v>
      </c>
      <c r="E18" s="94"/>
      <c r="F18" s="676"/>
    </row>
    <row r="19" spans="1:6" ht="12.95" customHeight="1" x14ac:dyDescent="0.2">
      <c r="A19" s="368" t="s">
        <v>31</v>
      </c>
      <c r="B19" s="382" t="s">
        <v>236</v>
      </c>
      <c r="C19" s="96">
        <f>'1.1.sz.mell.'!C73-'2.1.sz.mell  '!C20</f>
        <v>94076591</v>
      </c>
      <c r="D19" s="374" t="s">
        <v>192</v>
      </c>
      <c r="E19" s="97"/>
      <c r="F19" s="676"/>
    </row>
    <row r="20" spans="1:6" ht="12.95" customHeight="1" x14ac:dyDescent="0.2">
      <c r="A20" s="366" t="s">
        <v>32</v>
      </c>
      <c r="B20" s="382" t="s">
        <v>237</v>
      </c>
      <c r="C20" s="96"/>
      <c r="D20" s="374" t="s">
        <v>157</v>
      </c>
      <c r="E20" s="97"/>
      <c r="F20" s="676"/>
    </row>
    <row r="21" spans="1:6" ht="12.95" customHeight="1" x14ac:dyDescent="0.2">
      <c r="A21" s="368" t="s">
        <v>33</v>
      </c>
      <c r="B21" s="382" t="s">
        <v>238</v>
      </c>
      <c r="C21" s="96"/>
      <c r="D21" s="374" t="s">
        <v>158</v>
      </c>
      <c r="E21" s="97">
        <f>'1.1.sz.mell.'!C130</f>
        <v>3532000</v>
      </c>
      <c r="F21" s="676"/>
    </row>
    <row r="22" spans="1:6" ht="12.95" customHeight="1" x14ac:dyDescent="0.2">
      <c r="A22" s="366" t="s">
        <v>34</v>
      </c>
      <c r="B22" s="382" t="s">
        <v>239</v>
      </c>
      <c r="C22" s="96"/>
      <c r="D22" s="373" t="s">
        <v>233</v>
      </c>
      <c r="E22" s="97"/>
      <c r="F22" s="676"/>
    </row>
    <row r="23" spans="1:6" ht="12.95" customHeight="1" x14ac:dyDescent="0.2">
      <c r="A23" s="368" t="s">
        <v>35</v>
      </c>
      <c r="B23" s="383" t="s">
        <v>240</v>
      </c>
      <c r="C23" s="96"/>
      <c r="D23" s="374" t="s">
        <v>193</v>
      </c>
      <c r="E23" s="97"/>
      <c r="F23" s="676"/>
    </row>
    <row r="24" spans="1:6" ht="12.95" customHeight="1" x14ac:dyDescent="0.2">
      <c r="A24" s="366" t="s">
        <v>36</v>
      </c>
      <c r="B24" s="384" t="s">
        <v>241</v>
      </c>
      <c r="C24" s="376">
        <f>+C25+C26+C27+C28+C29</f>
        <v>29896000</v>
      </c>
      <c r="D24" s="385" t="s">
        <v>191</v>
      </c>
      <c r="E24" s="97"/>
      <c r="F24" s="676"/>
    </row>
    <row r="25" spans="1:6" ht="12.95" customHeight="1" x14ac:dyDescent="0.2">
      <c r="A25" s="368" t="s">
        <v>37</v>
      </c>
      <c r="B25" s="383" t="s">
        <v>242</v>
      </c>
      <c r="C25" s="96">
        <f>'1.1.sz.mell.'!C64</f>
        <v>29896000</v>
      </c>
      <c r="D25" s="385" t="s">
        <v>394</v>
      </c>
      <c r="E25" s="97">
        <f>'1.1.sz.mell.'!C144</f>
        <v>953289</v>
      </c>
      <c r="F25" s="676"/>
    </row>
    <row r="26" spans="1:6" ht="12.95" customHeight="1" x14ac:dyDescent="0.2">
      <c r="A26" s="366" t="s">
        <v>38</v>
      </c>
      <c r="B26" s="383" t="s">
        <v>243</v>
      </c>
      <c r="C26" s="96"/>
      <c r="D26" s="380"/>
      <c r="E26" s="97"/>
      <c r="F26" s="676"/>
    </row>
    <row r="27" spans="1:6" ht="12.95" customHeight="1" x14ac:dyDescent="0.2">
      <c r="A27" s="368" t="s">
        <v>39</v>
      </c>
      <c r="B27" s="382" t="s">
        <v>244</v>
      </c>
      <c r="C27" s="96"/>
      <c r="D27" s="148"/>
      <c r="E27" s="97"/>
      <c r="F27" s="676"/>
    </row>
    <row r="28" spans="1:6" ht="12.95" customHeight="1" x14ac:dyDescent="0.2">
      <c r="A28" s="366" t="s">
        <v>40</v>
      </c>
      <c r="B28" s="386" t="s">
        <v>245</v>
      </c>
      <c r="C28" s="96"/>
      <c r="D28" s="51"/>
      <c r="E28" s="97"/>
      <c r="F28" s="676"/>
    </row>
    <row r="29" spans="1:6" ht="12.95" customHeight="1" thickBot="1" x14ac:dyDescent="0.25">
      <c r="A29" s="368" t="s">
        <v>41</v>
      </c>
      <c r="B29" s="387" t="s">
        <v>246</v>
      </c>
      <c r="C29" s="96"/>
      <c r="D29" s="148"/>
      <c r="E29" s="97"/>
      <c r="F29" s="676"/>
    </row>
    <row r="30" spans="1:6" ht="21.75" customHeight="1" thickBot="1" x14ac:dyDescent="0.25">
      <c r="A30" s="371" t="s">
        <v>42</v>
      </c>
      <c r="B30" s="152" t="s">
        <v>391</v>
      </c>
      <c r="C30" s="347">
        <f>+C18+C24</f>
        <v>123972591</v>
      </c>
      <c r="D30" s="152" t="s">
        <v>395</v>
      </c>
      <c r="E30" s="352">
        <f>SUM(E18:E29)</f>
        <v>4485289</v>
      </c>
      <c r="F30" s="676"/>
    </row>
    <row r="31" spans="1:6" ht="13.5" thickBot="1" x14ac:dyDescent="0.25">
      <c r="A31" s="371" t="s">
        <v>43</v>
      </c>
      <c r="B31" s="377" t="s">
        <v>396</v>
      </c>
      <c r="C31" s="378">
        <f>+C17+C30</f>
        <v>604925253</v>
      </c>
      <c r="D31" s="377" t="s">
        <v>397</v>
      </c>
      <c r="E31" s="378">
        <f>+E17+E30</f>
        <v>604925253</v>
      </c>
      <c r="F31" s="676"/>
    </row>
    <row r="32" spans="1:6" ht="13.5" thickBot="1" x14ac:dyDescent="0.25">
      <c r="A32" s="371" t="s">
        <v>44</v>
      </c>
      <c r="B32" s="377" t="s">
        <v>167</v>
      </c>
      <c r="C32" s="378">
        <f>IF(C17-E17&lt;0,E17-C17,"-")</f>
        <v>119487302</v>
      </c>
      <c r="D32" s="377" t="s">
        <v>168</v>
      </c>
      <c r="E32" s="378" t="str">
        <f>IF(C17-E17&gt;0,C17-E17,"-")</f>
        <v>-</v>
      </c>
      <c r="F32" s="676"/>
    </row>
    <row r="33" spans="1:6" ht="13.5" thickBot="1" x14ac:dyDescent="0.25">
      <c r="A33" s="371" t="s">
        <v>45</v>
      </c>
      <c r="B33" s="377" t="s">
        <v>234</v>
      </c>
      <c r="C33" s="378" t="str">
        <f>IF(C17+C30-E26&lt;0,E26-(C17+C30),"-")</f>
        <v>-</v>
      </c>
      <c r="D33" s="377" t="s">
        <v>235</v>
      </c>
      <c r="E33" s="378">
        <f>IF(C17+C30-E26&gt;0,C17+C30-E26,"-")</f>
        <v>604925253</v>
      </c>
      <c r="F33" s="676"/>
    </row>
  </sheetData>
  <mergeCells count="2">
    <mergeCell ref="A3:A4"/>
    <mergeCell ref="F1:F33"/>
  </mergeCells>
  <phoneticPr fontId="0" type="noConversion"/>
  <printOptions horizontalCentered="1"/>
  <pageMargins left="0.78740157480314965" right="0.78740157480314965" top="0.49" bottom="0.79" header="0.49" footer="0.78740157480314965"/>
  <pageSetup paperSize="9" scale="9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19"/>
  <sheetViews>
    <sheetView zoomScaleNormal="100" workbookViewId="0">
      <selection activeCell="A4" sqref="A4"/>
    </sheetView>
  </sheetViews>
  <sheetFormatPr defaultRowHeight="12.75" x14ac:dyDescent="0.2"/>
  <cols>
    <col min="1" max="1" width="46.33203125" customWidth="1"/>
    <col min="2" max="2" width="13.83203125" customWidth="1"/>
    <col min="3" max="3" width="66.1640625" customWidth="1"/>
    <col min="4" max="5" width="13.83203125" customWidth="1"/>
  </cols>
  <sheetData>
    <row r="1" spans="1:5" ht="18.75" x14ac:dyDescent="0.3">
      <c r="A1" s="153" t="s">
        <v>152</v>
      </c>
      <c r="E1" s="156" t="s">
        <v>156</v>
      </c>
    </row>
    <row r="3" spans="1:5" x14ac:dyDescent="0.2">
      <c r="A3" s="160"/>
      <c r="B3" s="161"/>
      <c r="C3" s="160"/>
      <c r="D3" s="163"/>
      <c r="E3" s="161"/>
    </row>
    <row r="4" spans="1:5" ht="15.75" x14ac:dyDescent="0.25">
      <c r="A4" s="106" t="str">
        <f>+ÖSSZEFÜGGÉSEK!A5</f>
        <v>2017. évi előirányzat BEVÉTELEK</v>
      </c>
      <c r="B4" s="162"/>
      <c r="C4" s="171"/>
      <c r="D4" s="163"/>
      <c r="E4" s="161"/>
    </row>
    <row r="5" spans="1:5" x14ac:dyDescent="0.2">
      <c r="A5" s="160"/>
      <c r="B5" s="161"/>
      <c r="C5" s="160"/>
      <c r="D5" s="163"/>
      <c r="E5" s="161"/>
    </row>
    <row r="6" spans="1:5" x14ac:dyDescent="0.2">
      <c r="A6" s="160" t="s">
        <v>548</v>
      </c>
      <c r="B6" s="161">
        <f>+'1.1.sz.mell.'!C62</f>
        <v>1717470058</v>
      </c>
      <c r="C6" s="160" t="s">
        <v>490</v>
      </c>
      <c r="D6" s="163">
        <f>+'2.1.sz.mell  '!C18+'2.2.sz.mell  '!C17</f>
        <v>1717470058</v>
      </c>
      <c r="E6" s="161">
        <f t="shared" ref="E6:E15" si="0">+B6-D6</f>
        <v>0</v>
      </c>
    </row>
    <row r="7" spans="1:5" x14ac:dyDescent="0.2">
      <c r="A7" s="160" t="s">
        <v>549</v>
      </c>
      <c r="B7" s="161">
        <f>+'1.1.sz.mell.'!C86</f>
        <v>221449525</v>
      </c>
      <c r="C7" s="160" t="s">
        <v>491</v>
      </c>
      <c r="D7" s="163">
        <f>+'2.1.sz.mell  '!C29+'2.2.sz.mell  '!C30</f>
        <v>221449525</v>
      </c>
      <c r="E7" s="161">
        <f t="shared" si="0"/>
        <v>0</v>
      </c>
    </row>
    <row r="8" spans="1:5" x14ac:dyDescent="0.2">
      <c r="A8" s="160" t="s">
        <v>550</v>
      </c>
      <c r="B8" s="161">
        <f>+'1.1.sz.mell.'!C87</f>
        <v>1938919583</v>
      </c>
      <c r="C8" s="160" t="s">
        <v>492</v>
      </c>
      <c r="D8" s="163">
        <f>+'2.1.sz.mell  '!C30+'2.2.sz.mell  '!C31</f>
        <v>1938919583</v>
      </c>
      <c r="E8" s="161">
        <f t="shared" si="0"/>
        <v>0</v>
      </c>
    </row>
    <row r="9" spans="1:5" x14ac:dyDescent="0.2">
      <c r="A9" s="160"/>
      <c r="B9" s="161"/>
      <c r="C9" s="160"/>
      <c r="D9" s="163"/>
      <c r="E9" s="161"/>
    </row>
    <row r="10" spans="1:5" x14ac:dyDescent="0.2">
      <c r="A10" s="160"/>
      <c r="B10" s="161"/>
      <c r="C10" s="160"/>
      <c r="D10" s="163"/>
      <c r="E10" s="161"/>
    </row>
    <row r="11" spans="1:5" ht="15.75" x14ac:dyDescent="0.25">
      <c r="A11" s="106" t="str">
        <f>+ÖSSZEFÜGGÉSEK!A12</f>
        <v>2017. évi előirányzat KIADÁSOK</v>
      </c>
      <c r="B11" s="162"/>
      <c r="C11" s="171"/>
      <c r="D11" s="163"/>
      <c r="E11" s="161"/>
    </row>
    <row r="12" spans="1:5" x14ac:dyDescent="0.2">
      <c r="A12" s="160"/>
      <c r="B12" s="161"/>
      <c r="C12" s="160"/>
      <c r="D12" s="163"/>
      <c r="E12" s="161"/>
    </row>
    <row r="13" spans="1:5" x14ac:dyDescent="0.2">
      <c r="A13" s="160" t="s">
        <v>551</v>
      </c>
      <c r="B13" s="161">
        <f>+'1.1.sz.mell.'!C128</f>
        <v>1916291146</v>
      </c>
      <c r="C13" s="160" t="s">
        <v>493</v>
      </c>
      <c r="D13" s="163">
        <f>+'2.1.sz.mell  '!E18+'2.2.sz.mell  '!E17</f>
        <v>1916291146</v>
      </c>
      <c r="E13" s="161">
        <f t="shared" si="0"/>
        <v>0</v>
      </c>
    </row>
    <row r="14" spans="1:5" x14ac:dyDescent="0.2">
      <c r="A14" s="160" t="s">
        <v>552</v>
      </c>
      <c r="B14" s="161">
        <f>+'1.1.sz.mell.'!C153</f>
        <v>22628437</v>
      </c>
      <c r="C14" s="160" t="s">
        <v>494</v>
      </c>
      <c r="D14" s="163">
        <f>+'2.1.sz.mell  '!E29+'2.2.sz.mell  '!E30</f>
        <v>22628437</v>
      </c>
      <c r="E14" s="161">
        <f t="shared" si="0"/>
        <v>0</v>
      </c>
    </row>
    <row r="15" spans="1:5" x14ac:dyDescent="0.2">
      <c r="A15" s="160" t="s">
        <v>553</v>
      </c>
      <c r="B15" s="161">
        <f>+'1.1.sz.mell.'!C154</f>
        <v>1938919583</v>
      </c>
      <c r="C15" s="160" t="s">
        <v>495</v>
      </c>
      <c r="D15" s="163">
        <f>+'2.1.sz.mell  '!E30+'2.2.sz.mell  '!E31</f>
        <v>1938919583</v>
      </c>
      <c r="E15" s="161">
        <f t="shared" si="0"/>
        <v>0</v>
      </c>
    </row>
    <row r="16" spans="1:5" x14ac:dyDescent="0.2">
      <c r="A16" s="154"/>
      <c r="B16" s="154"/>
      <c r="C16" s="160"/>
      <c r="D16" s="163"/>
      <c r="E16" s="155"/>
    </row>
    <row r="17" spans="1:5" x14ac:dyDescent="0.2">
      <c r="A17" s="154"/>
      <c r="B17" s="154"/>
      <c r="C17" s="154"/>
      <c r="D17" s="154"/>
      <c r="E17" s="154"/>
    </row>
    <row r="18" spans="1:5" x14ac:dyDescent="0.2">
      <c r="A18" s="154"/>
      <c r="B18" s="154"/>
      <c r="C18" s="154"/>
      <c r="D18" s="154"/>
      <c r="E18" s="154"/>
    </row>
    <row r="19" spans="1:5" x14ac:dyDescent="0.2">
      <c r="A19" s="154"/>
      <c r="B19" s="154"/>
      <c r="C19" s="154"/>
      <c r="D19" s="154"/>
      <c r="E19" s="154"/>
    </row>
  </sheetData>
  <phoneticPr fontId="30" type="noConversion"/>
  <conditionalFormatting sqref="E3:E15">
    <cfRule type="cellIs" dxfId="8" priority="1" stopIfTrue="1" operator="notEqual">
      <formula>0</formula>
    </cfRule>
  </conditionalFormatting>
  <pageMargins left="0.79" right="0.56999999999999995" top="0.88" bottom="0.66" header="0.5" footer="0.5"/>
  <pageSetup paperSize="9" scale="9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1"/>
  <sheetViews>
    <sheetView view="pageLayout" zoomScaleNormal="120" workbookViewId="0">
      <selection activeCell="F6" sqref="F6"/>
    </sheetView>
  </sheetViews>
  <sheetFormatPr defaultRowHeight="15" x14ac:dyDescent="0.25"/>
  <cols>
    <col min="1" max="1" width="5.6640625" style="174" customWidth="1"/>
    <col min="2" max="2" width="36.83203125" style="174" customWidth="1"/>
    <col min="3" max="6" width="14" style="174" customWidth="1"/>
    <col min="7" max="16384" width="9.33203125" style="174"/>
  </cols>
  <sheetData>
    <row r="1" spans="1:7" ht="33" customHeight="1" x14ac:dyDescent="0.25">
      <c r="A1" s="680" t="s">
        <v>568</v>
      </c>
      <c r="B1" s="680"/>
      <c r="C1" s="680"/>
      <c r="D1" s="680"/>
      <c r="E1" s="680"/>
      <c r="F1" s="680"/>
    </row>
    <row r="2" spans="1:7" ht="15.95" customHeight="1" thickBot="1" x14ac:dyDescent="0.3">
      <c r="A2" s="175"/>
      <c r="B2" s="175"/>
      <c r="C2" s="681"/>
      <c r="D2" s="681"/>
      <c r="E2" s="688" t="s">
        <v>55</v>
      </c>
      <c r="F2" s="688"/>
      <c r="G2" s="181"/>
    </row>
    <row r="3" spans="1:7" ht="63" customHeight="1" x14ac:dyDescent="0.25">
      <c r="A3" s="684" t="s">
        <v>16</v>
      </c>
      <c r="B3" s="686" t="s">
        <v>195</v>
      </c>
      <c r="C3" s="686" t="s">
        <v>251</v>
      </c>
      <c r="D3" s="686"/>
      <c r="E3" s="686"/>
      <c r="F3" s="682" t="s">
        <v>504</v>
      </c>
    </row>
    <row r="4" spans="1:7" ht="15.75" thickBot="1" x14ac:dyDescent="0.3">
      <c r="A4" s="685"/>
      <c r="B4" s="687"/>
      <c r="C4" s="531">
        <f>+LEFT(ÖSSZEFÜGGÉSEK!A5,4)+1</f>
        <v>2018</v>
      </c>
      <c r="D4" s="531">
        <f>+C4+1</f>
        <v>2019</v>
      </c>
      <c r="E4" s="531">
        <f>+D4+1</f>
        <v>2020</v>
      </c>
      <c r="F4" s="683"/>
    </row>
    <row r="5" spans="1:7" ht="15.75" thickBot="1" x14ac:dyDescent="0.3">
      <c r="A5" s="178"/>
      <c r="B5" s="179" t="s">
        <v>496</v>
      </c>
      <c r="C5" s="179" t="s">
        <v>497</v>
      </c>
      <c r="D5" s="179" t="s">
        <v>498</v>
      </c>
      <c r="E5" s="179" t="s">
        <v>500</v>
      </c>
      <c r="F5" s="180" t="s">
        <v>499</v>
      </c>
    </row>
    <row r="6" spans="1:7" ht="26.25" x14ac:dyDescent="0.25">
      <c r="A6" s="177" t="s">
        <v>18</v>
      </c>
      <c r="B6" s="661" t="s">
        <v>706</v>
      </c>
      <c r="C6" s="662">
        <v>7393</v>
      </c>
      <c r="D6" s="662">
        <v>9641</v>
      </c>
      <c r="E6" s="662">
        <v>9499</v>
      </c>
      <c r="F6" s="663">
        <f>SUM(C6:E6)</f>
        <v>26533</v>
      </c>
    </row>
    <row r="7" spans="1:7" x14ac:dyDescent="0.25">
      <c r="A7" s="176" t="s">
        <v>19</v>
      </c>
      <c r="B7" s="198" t="s">
        <v>707</v>
      </c>
      <c r="C7" s="199">
        <v>1208</v>
      </c>
      <c r="D7" s="199">
        <v>1208</v>
      </c>
      <c r="E7" s="199">
        <v>503</v>
      </c>
      <c r="F7" s="184">
        <f>SUM(C7:E7)</f>
        <v>2919</v>
      </c>
    </row>
    <row r="8" spans="1:7" x14ac:dyDescent="0.25">
      <c r="A8" s="176" t="s">
        <v>20</v>
      </c>
      <c r="B8" s="198"/>
      <c r="C8" s="199"/>
      <c r="D8" s="199"/>
      <c r="E8" s="199"/>
      <c r="F8" s="184">
        <f>SUM(C8:E8)</f>
        <v>0</v>
      </c>
    </row>
    <row r="9" spans="1:7" x14ac:dyDescent="0.25">
      <c r="A9" s="176" t="s">
        <v>21</v>
      </c>
      <c r="B9" s="198"/>
      <c r="C9" s="199"/>
      <c r="D9" s="199"/>
      <c r="E9" s="199"/>
      <c r="F9" s="184">
        <f>SUM(C9:E9)</f>
        <v>0</v>
      </c>
    </row>
    <row r="10" spans="1:7" ht="15.75" thickBot="1" x14ac:dyDescent="0.3">
      <c r="A10" s="182" t="s">
        <v>22</v>
      </c>
      <c r="B10" s="200"/>
      <c r="C10" s="201"/>
      <c r="D10" s="201"/>
      <c r="E10" s="201"/>
      <c r="F10" s="184">
        <f>SUM(C10:E10)</f>
        <v>0</v>
      </c>
    </row>
    <row r="11" spans="1:7" s="516" customFormat="1" thickBot="1" x14ac:dyDescent="0.25">
      <c r="A11" s="513" t="s">
        <v>23</v>
      </c>
      <c r="B11" s="183" t="s">
        <v>196</v>
      </c>
      <c r="C11" s="514">
        <f>SUM(C6:C10)</f>
        <v>8601</v>
      </c>
      <c r="D11" s="514">
        <f>SUM(D6:D10)</f>
        <v>10849</v>
      </c>
      <c r="E11" s="514">
        <f>SUM(E6:E10)</f>
        <v>10002</v>
      </c>
      <c r="F11" s="515">
        <f>SUM(F6:F10)</f>
        <v>29452</v>
      </c>
    </row>
  </sheetData>
  <mergeCells count="7">
    <mergeCell ref="A1:F1"/>
    <mergeCell ref="C2:D2"/>
    <mergeCell ref="F3:F4"/>
    <mergeCell ref="A3:A4"/>
    <mergeCell ref="B3:B4"/>
    <mergeCell ref="C3:E3"/>
    <mergeCell ref="E2:F2"/>
  </mergeCells>
  <phoneticPr fontId="0" type="noConversion"/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&amp;R&amp;"Times New Roman CE,Félkövér dőlt"&amp;11 3. melléklet a 6/2017. (III. 13.) önkormányzati rendelethez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47</vt:i4>
      </vt:variant>
      <vt:variant>
        <vt:lpstr>Névvel ellátott tartományok</vt:lpstr>
      </vt:variant>
      <vt:variant>
        <vt:i4>33</vt:i4>
      </vt:variant>
    </vt:vector>
  </HeadingPairs>
  <TitlesOfParts>
    <vt:vector size="80" baseType="lpstr">
      <vt:lpstr>ÖSSZEFÜGGÉSEK</vt:lpstr>
      <vt:lpstr>1.1.sz.mell.</vt:lpstr>
      <vt:lpstr>1.2.sz.mell.</vt:lpstr>
      <vt:lpstr>1.3.sz.mell.</vt:lpstr>
      <vt:lpstr>1.4.sz.mell.</vt:lpstr>
      <vt:lpstr>2.1.sz.mell  </vt:lpstr>
      <vt:lpstr>2.2.sz.mell  </vt:lpstr>
      <vt:lpstr>ELLENŐRZÉS-1.sz.2.a.sz.2.b.sz.</vt:lpstr>
      <vt:lpstr>3.sz.mell.  </vt:lpstr>
      <vt:lpstr>4.sz.mell.</vt:lpstr>
      <vt:lpstr>5.sz.mell.</vt:lpstr>
      <vt:lpstr>6.sz.mell.</vt:lpstr>
      <vt:lpstr>7.sz.mell.</vt:lpstr>
      <vt:lpstr>8. sz. mell. </vt:lpstr>
      <vt:lpstr>9.1. sz. mell ÖNK</vt:lpstr>
      <vt:lpstr>9.1.1. sz. mell ÖNK</vt:lpstr>
      <vt:lpstr>9.1.2. sz. mell ÖNK</vt:lpstr>
      <vt:lpstr>9.1.3. sz. mell ÖNK</vt:lpstr>
      <vt:lpstr>9.2. sz. mell HIV</vt:lpstr>
      <vt:lpstr>9.2.1. sz. mell HIV</vt:lpstr>
      <vt:lpstr>9.2.2. sz.  mell HIV</vt:lpstr>
      <vt:lpstr>9.2.3. sz. mell HIV</vt:lpstr>
      <vt:lpstr>9.3. sz. mell GAM</vt:lpstr>
      <vt:lpstr>9.3.1. sz. mell GAM</vt:lpstr>
      <vt:lpstr>9.3.2. sz. mell GAM</vt:lpstr>
      <vt:lpstr>9.3.3. sz. mell GAM</vt:lpstr>
      <vt:lpstr>9.4. sz. mell ILMKS</vt:lpstr>
      <vt:lpstr>9.4.1. sz. mell ILMKS</vt:lpstr>
      <vt:lpstr>9.4.2. sz. mell ILMKS</vt:lpstr>
      <vt:lpstr>9.4.3. sz. mell ILMKS</vt:lpstr>
      <vt:lpstr>9.5. sz. mell OVI</vt:lpstr>
      <vt:lpstr>9.5.1. sz. mell OVI</vt:lpstr>
      <vt:lpstr>9.5.2. sz. mell OVI</vt:lpstr>
      <vt:lpstr>9.5.3. sz. mell OVI</vt:lpstr>
      <vt:lpstr>9.6. sz. mell CSSK</vt:lpstr>
      <vt:lpstr>9.6.1. sz. mell CSSK</vt:lpstr>
      <vt:lpstr>9.6.2. sz. mell CSSK</vt:lpstr>
      <vt:lpstr>9.6.3. sz. mell CSSK</vt:lpstr>
      <vt:lpstr>10.sz.mell</vt:lpstr>
      <vt:lpstr>1. sz tájékoztató t.</vt:lpstr>
      <vt:lpstr>2. sz tájékoztató t</vt:lpstr>
      <vt:lpstr>3. sz tájékoztató t.</vt:lpstr>
      <vt:lpstr>4.sz tájékoztató t.</vt:lpstr>
      <vt:lpstr>5.sz tájékoztató t.</vt:lpstr>
      <vt:lpstr>6.sz tájékoztató t.</vt:lpstr>
      <vt:lpstr>7. sz tájékoztató t.</vt:lpstr>
      <vt:lpstr>Munka1</vt:lpstr>
      <vt:lpstr>'9.1. sz. mell ÖNK'!Nyomtatási_cím</vt:lpstr>
      <vt:lpstr>'9.1.1. sz. mell ÖNK'!Nyomtatási_cím</vt:lpstr>
      <vt:lpstr>'9.1.2. sz. mell ÖNK'!Nyomtatási_cím</vt:lpstr>
      <vt:lpstr>'9.1.3. sz. mell ÖNK'!Nyomtatási_cím</vt:lpstr>
      <vt:lpstr>'9.2. sz. mell HIV'!Nyomtatási_cím</vt:lpstr>
      <vt:lpstr>'9.2.1. sz. mell HIV'!Nyomtatási_cím</vt:lpstr>
      <vt:lpstr>'9.2.2. sz.  mell HIV'!Nyomtatási_cím</vt:lpstr>
      <vt:lpstr>'9.2.3. sz. mell HIV'!Nyomtatási_cím</vt:lpstr>
      <vt:lpstr>'9.3. sz. mell GAM'!Nyomtatási_cím</vt:lpstr>
      <vt:lpstr>'9.3.1. sz. mell GAM'!Nyomtatási_cím</vt:lpstr>
      <vt:lpstr>'9.3.2. sz. mell GAM'!Nyomtatási_cím</vt:lpstr>
      <vt:lpstr>'9.3.3. sz. mell GAM'!Nyomtatási_cím</vt:lpstr>
      <vt:lpstr>'9.4. sz. mell ILMKS'!Nyomtatási_cím</vt:lpstr>
      <vt:lpstr>'9.4.1. sz. mell ILMKS'!Nyomtatási_cím</vt:lpstr>
      <vt:lpstr>'9.4.2. sz. mell ILMKS'!Nyomtatási_cím</vt:lpstr>
      <vt:lpstr>'9.4.3. sz. mell ILMKS'!Nyomtatási_cím</vt:lpstr>
      <vt:lpstr>'9.5. sz. mell OVI'!Nyomtatási_cím</vt:lpstr>
      <vt:lpstr>'9.5.1. sz. mell OVI'!Nyomtatási_cím</vt:lpstr>
      <vt:lpstr>'9.5.2. sz. mell OVI'!Nyomtatási_cím</vt:lpstr>
      <vt:lpstr>'9.5.3. sz. mell OVI'!Nyomtatási_cím</vt:lpstr>
      <vt:lpstr>'9.6. sz. mell CSSK'!Nyomtatási_cím</vt:lpstr>
      <vt:lpstr>'9.6.1. sz. mell CSSK'!Nyomtatási_cím</vt:lpstr>
      <vt:lpstr>'9.6.2. sz. mell CSSK'!Nyomtatási_cím</vt:lpstr>
      <vt:lpstr>'9.6.3. sz. mell CSSK'!Nyomtatási_cím</vt:lpstr>
      <vt:lpstr>'1. sz tájékoztató t.'!Nyomtatási_terület</vt:lpstr>
      <vt:lpstr>'1.1.sz.mell.'!Nyomtatási_terület</vt:lpstr>
      <vt:lpstr>'1.2.sz.mell.'!Nyomtatási_terület</vt:lpstr>
      <vt:lpstr>'1.3.sz.mell.'!Nyomtatási_terület</vt:lpstr>
      <vt:lpstr>'1.4.sz.mell.'!Nyomtatási_terület</vt:lpstr>
      <vt:lpstr>'2.1.sz.mell  '!Nyomtatási_terület</vt:lpstr>
      <vt:lpstr>'7. sz tájékoztató t.'!Nyomtatási_terület</vt:lpstr>
      <vt:lpstr>'9.1. sz. mell ÖNK'!Nyomtatási_terület</vt:lpstr>
      <vt:lpstr>'9.1.1. sz. mell ÖNK'!Nyomtatási_terület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Windows-felhasználó</cp:lastModifiedBy>
  <cp:lastPrinted>2017-08-02T09:42:17Z</cp:lastPrinted>
  <dcterms:created xsi:type="dcterms:W3CDTF">1999-10-30T10:30:45Z</dcterms:created>
  <dcterms:modified xsi:type="dcterms:W3CDTF">2018-05-24T11:50:45Z</dcterms:modified>
</cp:coreProperties>
</file>