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Kozmáné Albecz Rita\TESTÜLETI ÜLÉSEK\2018.02.15 rendkívüli\Költségvetés jó 2018\Feltöltéshez\"/>
    </mc:Choice>
  </mc:AlternateContent>
  <bookViews>
    <workbookView xWindow="0" yWindow="0" windowWidth="20490" windowHeight="7155" tabRatio="727" firstSheet="31" activeTab="39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66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59" i="133" l="1"/>
  <c r="C59" i="129"/>
  <c r="C20" i="73" l="1"/>
  <c r="C77" i="119"/>
  <c r="C48" i="126"/>
  <c r="C47" i="126"/>
  <c r="C46" i="126"/>
  <c r="D229" i="71" l="1"/>
  <c r="E228" i="71"/>
  <c r="E227" i="71"/>
  <c r="E226" i="71"/>
  <c r="E225" i="71"/>
  <c r="E224" i="71"/>
  <c r="E223" i="71"/>
  <c r="C222" i="71"/>
  <c r="C229" i="71" s="1"/>
  <c r="C214" i="71" s="1"/>
  <c r="C219" i="71" s="1"/>
  <c r="B222" i="71"/>
  <c r="E222" i="71" s="1"/>
  <c r="E229" i="71" s="1"/>
  <c r="E218" i="71"/>
  <c r="E217" i="71"/>
  <c r="E216" i="71"/>
  <c r="E215" i="71"/>
  <c r="D214" i="71"/>
  <c r="D219" i="71" s="1"/>
  <c r="E213" i="71"/>
  <c r="E212" i="71"/>
  <c r="B206" i="71"/>
  <c r="E205" i="71"/>
  <c r="E204" i="71"/>
  <c r="E203" i="71"/>
  <c r="E202" i="71"/>
  <c r="D201" i="71"/>
  <c r="E201" i="71" s="1"/>
  <c r="E200" i="71"/>
  <c r="D199" i="71"/>
  <c r="D206" i="71" s="1"/>
  <c r="C199" i="71"/>
  <c r="E199" i="71" s="1"/>
  <c r="E195" i="71"/>
  <c r="E194" i="71"/>
  <c r="E193" i="71"/>
  <c r="E192" i="71"/>
  <c r="B191" i="71"/>
  <c r="E190" i="71"/>
  <c r="E182" i="71"/>
  <c r="E181" i="71"/>
  <c r="E180" i="71"/>
  <c r="E179" i="71"/>
  <c r="D178" i="71"/>
  <c r="D183" i="71" s="1"/>
  <c r="D168" i="71" s="1"/>
  <c r="D173" i="71" s="1"/>
  <c r="C178" i="71"/>
  <c r="C183" i="71" s="1"/>
  <c r="C168" i="71" s="1"/>
  <c r="C173" i="71" s="1"/>
  <c r="B178" i="71"/>
  <c r="E178" i="71" s="1"/>
  <c r="E177" i="71"/>
  <c r="E176" i="71"/>
  <c r="E183" i="71" s="1"/>
  <c r="E172" i="71"/>
  <c r="E171" i="71"/>
  <c r="E170" i="71"/>
  <c r="E169" i="71"/>
  <c r="E167" i="71"/>
  <c r="E166" i="71"/>
  <c r="D160" i="71"/>
  <c r="B160" i="71"/>
  <c r="E159" i="71"/>
  <c r="E158" i="71"/>
  <c r="E157" i="71"/>
  <c r="E156" i="71"/>
  <c r="C155" i="71"/>
  <c r="E155" i="71" s="1"/>
  <c r="C154" i="71"/>
  <c r="C160" i="71" s="1"/>
  <c r="C145" i="71" s="1"/>
  <c r="E153" i="71"/>
  <c r="D150" i="71"/>
  <c r="E149" i="71"/>
  <c r="E148" i="71"/>
  <c r="E147" i="71"/>
  <c r="E146" i="71"/>
  <c r="E144" i="71"/>
  <c r="B143" i="71"/>
  <c r="B150" i="71" s="1"/>
  <c r="D137" i="71"/>
  <c r="C137" i="71"/>
  <c r="B137" i="71"/>
  <c r="E136" i="71"/>
  <c r="E135" i="71"/>
  <c r="E134" i="71"/>
  <c r="E133" i="71"/>
  <c r="E132" i="71"/>
  <c r="E131" i="71"/>
  <c r="E130" i="71"/>
  <c r="E137" i="71" s="1"/>
  <c r="D127" i="71"/>
  <c r="C127" i="71"/>
  <c r="B127" i="71"/>
  <c r="E126" i="71"/>
  <c r="E125" i="71"/>
  <c r="E124" i="71"/>
  <c r="E123" i="71"/>
  <c r="E122" i="71"/>
  <c r="E121" i="71"/>
  <c r="E120" i="71"/>
  <c r="E127" i="71" s="1"/>
  <c r="D114" i="71"/>
  <c r="C114" i="71"/>
  <c r="B114" i="71"/>
  <c r="E113" i="71"/>
  <c r="E112" i="71"/>
  <c r="E111" i="71"/>
  <c r="E110" i="71"/>
  <c r="E109" i="71"/>
  <c r="E108" i="71"/>
  <c r="E107" i="71"/>
  <c r="E114" i="71" s="1"/>
  <c r="D104" i="71"/>
  <c r="C104" i="71"/>
  <c r="B104" i="71"/>
  <c r="E103" i="71"/>
  <c r="E102" i="71"/>
  <c r="E101" i="71"/>
  <c r="E100" i="71"/>
  <c r="B99" i="71"/>
  <c r="E99" i="71" s="1"/>
  <c r="E98" i="71"/>
  <c r="E97" i="71"/>
  <c r="E104" i="71" s="1"/>
  <c r="D91" i="71"/>
  <c r="C91" i="71"/>
  <c r="B91" i="71"/>
  <c r="E90" i="71"/>
  <c r="E89" i="71"/>
  <c r="E88" i="71"/>
  <c r="E87" i="71"/>
  <c r="E86" i="71"/>
  <c r="E85" i="71"/>
  <c r="E84" i="71"/>
  <c r="E91" i="71" s="1"/>
  <c r="D81" i="71"/>
  <c r="C81" i="71"/>
  <c r="B81" i="71"/>
  <c r="E80" i="71"/>
  <c r="E79" i="71"/>
  <c r="E78" i="71"/>
  <c r="E77" i="71"/>
  <c r="E76" i="71"/>
  <c r="E75" i="71"/>
  <c r="E74" i="71"/>
  <c r="E81" i="71" s="1"/>
  <c r="D68" i="71"/>
  <c r="C68" i="71"/>
  <c r="E67" i="71"/>
  <c r="E66" i="71"/>
  <c r="E65" i="71"/>
  <c r="E64" i="71"/>
  <c r="E63" i="71"/>
  <c r="E62" i="71"/>
  <c r="B61" i="71"/>
  <c r="B68" i="71" s="1"/>
  <c r="B58" i="71" s="1"/>
  <c r="B51" i="71" s="1"/>
  <c r="E51" i="71" s="1"/>
  <c r="E58" i="71" s="1"/>
  <c r="D58" i="71"/>
  <c r="C58" i="71"/>
  <c r="E57" i="71"/>
  <c r="E56" i="71"/>
  <c r="E55" i="71"/>
  <c r="E54" i="71"/>
  <c r="E53" i="71"/>
  <c r="E52" i="71"/>
  <c r="D45" i="71"/>
  <c r="C45" i="71"/>
  <c r="B45" i="71"/>
  <c r="E44" i="71"/>
  <c r="E43" i="71"/>
  <c r="E42" i="71"/>
  <c r="E41" i="71"/>
  <c r="E40" i="71"/>
  <c r="E39" i="71"/>
  <c r="E38" i="71"/>
  <c r="E45" i="71" s="1"/>
  <c r="D35" i="71"/>
  <c r="C35" i="71"/>
  <c r="B35" i="71"/>
  <c r="E34" i="71"/>
  <c r="E33" i="71"/>
  <c r="E32" i="71"/>
  <c r="E31" i="71"/>
  <c r="B30" i="71"/>
  <c r="E30" i="71" s="1"/>
  <c r="E29" i="71"/>
  <c r="E28" i="71"/>
  <c r="E35" i="71" s="1"/>
  <c r="D22" i="71"/>
  <c r="C22" i="71"/>
  <c r="B22" i="71"/>
  <c r="E21" i="71"/>
  <c r="E20" i="71"/>
  <c r="E19" i="71"/>
  <c r="E18" i="71"/>
  <c r="E17" i="71"/>
  <c r="E16" i="71"/>
  <c r="E15" i="71"/>
  <c r="E22" i="71" s="1"/>
  <c r="D14" i="71"/>
  <c r="D27" i="71" s="1"/>
  <c r="D37" i="71" s="1"/>
  <c r="D50" i="71" s="1"/>
  <c r="D60" i="71" s="1"/>
  <c r="D73" i="71" s="1"/>
  <c r="D83" i="71" s="1"/>
  <c r="D96" i="71" s="1"/>
  <c r="D106" i="71" s="1"/>
  <c r="D119" i="71" s="1"/>
  <c r="D129" i="71" s="1"/>
  <c r="D142" i="71" s="1"/>
  <c r="D152" i="71" s="1"/>
  <c r="D165" i="71" s="1"/>
  <c r="D175" i="71" s="1"/>
  <c r="D188" i="71" s="1"/>
  <c r="D198" i="71" s="1"/>
  <c r="D211" i="71" s="1"/>
  <c r="D221" i="71" s="1"/>
  <c r="C14" i="71"/>
  <c r="C27" i="71" s="1"/>
  <c r="C37" i="71" s="1"/>
  <c r="C50" i="71" s="1"/>
  <c r="C60" i="71" s="1"/>
  <c r="C73" i="71" s="1"/>
  <c r="C83" i="71" s="1"/>
  <c r="C96" i="71" s="1"/>
  <c r="C106" i="71" s="1"/>
  <c r="C119" i="71" s="1"/>
  <c r="C129" i="71" s="1"/>
  <c r="C142" i="71" s="1"/>
  <c r="C152" i="71" s="1"/>
  <c r="C165" i="71" s="1"/>
  <c r="C175" i="71" s="1"/>
  <c r="C188" i="71" s="1"/>
  <c r="C198" i="71" s="1"/>
  <c r="C211" i="71" s="1"/>
  <c r="C221" i="71" s="1"/>
  <c r="B14" i="71"/>
  <c r="B27" i="71" s="1"/>
  <c r="B37" i="71" s="1"/>
  <c r="B50" i="71" s="1"/>
  <c r="B60" i="71" s="1"/>
  <c r="B73" i="71" s="1"/>
  <c r="B83" i="71" s="1"/>
  <c r="B96" i="71" s="1"/>
  <c r="B106" i="71" s="1"/>
  <c r="B119" i="71" s="1"/>
  <c r="B129" i="71" s="1"/>
  <c r="B142" i="71" s="1"/>
  <c r="B152" i="71" s="1"/>
  <c r="B165" i="71" s="1"/>
  <c r="B175" i="71" s="1"/>
  <c r="B188" i="71" s="1"/>
  <c r="B198" i="71" s="1"/>
  <c r="B211" i="71" s="1"/>
  <c r="B221" i="71" s="1"/>
  <c r="D12" i="71"/>
  <c r="C12" i="71"/>
  <c r="B12" i="71"/>
  <c r="E11" i="71"/>
  <c r="E10" i="71"/>
  <c r="E9" i="71"/>
  <c r="E8" i="71"/>
  <c r="E7" i="71"/>
  <c r="E6" i="71"/>
  <c r="B5" i="71"/>
  <c r="E5" i="71" s="1"/>
  <c r="E12" i="71" s="1"/>
  <c r="C150" i="71" l="1"/>
  <c r="E145" i="71"/>
  <c r="E206" i="71"/>
  <c r="E61" i="71"/>
  <c r="E68" i="71" s="1"/>
  <c r="E143" i="71"/>
  <c r="E150" i="71" s="1"/>
  <c r="B183" i="71"/>
  <c r="B168" i="71" s="1"/>
  <c r="B196" i="71"/>
  <c r="C206" i="71"/>
  <c r="C191" i="71" s="1"/>
  <c r="C196" i="71" s="1"/>
  <c r="B229" i="71"/>
  <c r="B214" i="71" s="1"/>
  <c r="E154" i="71"/>
  <c r="E160" i="71" s="1"/>
  <c r="E214" i="71" l="1"/>
  <c r="E219" i="71" s="1"/>
  <c r="B219" i="71"/>
  <c r="B173" i="71"/>
  <c r="E168" i="71"/>
  <c r="E173" i="71" s="1"/>
  <c r="D191" i="71"/>
  <c r="E191" i="71" s="1"/>
  <c r="D189" i="71" s="1"/>
  <c r="D196" i="71" l="1"/>
  <c r="E189" i="71"/>
  <c r="E196" i="71" s="1"/>
  <c r="C97" i="119" l="1"/>
  <c r="C10" i="119"/>
  <c r="C47" i="134"/>
  <c r="C46" i="134"/>
  <c r="C117" i="119" l="1"/>
  <c r="C98" i="3" l="1"/>
  <c r="F31" i="63"/>
  <c r="F32" i="63"/>
  <c r="F33" i="63"/>
  <c r="F34" i="63"/>
  <c r="F35" i="63"/>
  <c r="F36" i="63"/>
  <c r="F37" i="63"/>
  <c r="F38" i="63"/>
  <c r="F39" i="63"/>
  <c r="B33" i="63"/>
  <c r="E122" i="119" l="1"/>
  <c r="E118" i="119"/>
  <c r="C100" i="119"/>
  <c r="C112" i="119"/>
  <c r="F9" i="66" l="1"/>
  <c r="E9" i="66"/>
  <c r="C17" i="117" l="1"/>
  <c r="C17" i="116"/>
  <c r="F30" i="63" l="1"/>
  <c r="C52" i="138"/>
  <c r="E11" i="73"/>
  <c r="C17" i="1"/>
  <c r="C56" i="1"/>
  <c r="C33" i="119"/>
  <c r="C96" i="119"/>
  <c r="C95" i="119"/>
  <c r="C96" i="120"/>
  <c r="C95" i="120"/>
  <c r="C115" i="119" l="1"/>
  <c r="C13" i="119"/>
  <c r="C29" i="116"/>
  <c r="C29" i="1"/>
  <c r="C32" i="3"/>
  <c r="C113" i="119" l="1"/>
  <c r="C44" i="119" l="1"/>
  <c r="C11" i="119"/>
  <c r="E12" i="119" l="1"/>
  <c r="C20" i="119" s="1"/>
  <c r="C27" i="119"/>
  <c r="E15" i="119"/>
  <c r="E6" i="63"/>
  <c r="E42" i="63" s="1"/>
  <c r="B6" i="63" l="1"/>
  <c r="B42" i="63" s="1"/>
  <c r="C49" i="124" l="1"/>
  <c r="C48" i="124"/>
  <c r="C47" i="124"/>
  <c r="C40" i="130" l="1"/>
  <c r="F21" i="119" l="1"/>
  <c r="C12" i="119"/>
  <c r="J20" i="66" l="1"/>
  <c r="J18" i="66"/>
  <c r="J19" i="66"/>
  <c r="B28" i="2" l="1"/>
  <c r="E15" i="66"/>
  <c r="E13" i="66"/>
  <c r="E11" i="66"/>
  <c r="E17" i="66"/>
  <c r="E16" i="66"/>
  <c r="I14" i="66"/>
  <c r="E14" i="66"/>
  <c r="I12" i="66"/>
  <c r="E12" i="66"/>
  <c r="I10" i="66"/>
  <c r="E10" i="66"/>
  <c r="C3" i="1" l="1"/>
  <c r="A20" i="89" l="1"/>
  <c r="J17" i="66"/>
  <c r="J15" i="66"/>
  <c r="J13" i="66"/>
  <c r="J11" i="66"/>
  <c r="I9" i="66"/>
  <c r="H9" i="66"/>
  <c r="G9" i="66"/>
  <c r="C38" i="129" l="1"/>
  <c r="C8" i="119" l="1"/>
  <c r="E52" i="87" l="1"/>
  <c r="C29" i="137"/>
  <c r="E3" i="137"/>
  <c r="D3" i="137"/>
  <c r="C3" i="137"/>
  <c r="E24" i="119"/>
  <c r="C52" i="133"/>
  <c r="E23" i="119" l="1"/>
  <c r="D3" i="87" l="1"/>
  <c r="C23" i="129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6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0" i="116" s="1"/>
  <c r="C83" i="116"/>
  <c r="C84" i="116"/>
  <c r="C81" i="116"/>
  <c r="C78" i="116"/>
  <c r="C79" i="116"/>
  <c r="C77" i="116"/>
  <c r="C75" i="116"/>
  <c r="C74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46" i="116"/>
  <c r="C36" i="116"/>
  <c r="C28" i="116"/>
  <c r="C30" i="116"/>
  <c r="C31" i="116"/>
  <c r="C32" i="116"/>
  <c r="C33" i="116"/>
  <c r="C34" i="116"/>
  <c r="C27" i="116"/>
  <c r="C21" i="116"/>
  <c r="C22" i="116"/>
  <c r="C23" i="116"/>
  <c r="C24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1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60" i="3"/>
  <c r="C57" i="1" s="1"/>
  <c r="C57" i="3"/>
  <c r="C54" i="1" s="1"/>
  <c r="C52" i="3"/>
  <c r="C49" i="1" s="1"/>
  <c r="C53" i="3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J12" i="66"/>
  <c r="J14" i="66"/>
  <c r="D9" i="88"/>
  <c r="D33" i="88" s="1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O21" i="24" s="1"/>
  <c r="C97" i="3"/>
  <c r="O18" i="24" s="1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7" i="125" s="1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I4" i="66"/>
  <c r="H4" i="66"/>
  <c r="G4" i="66"/>
  <c r="F4" i="66"/>
  <c r="E3" i="66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I25" i="66"/>
  <c r="H25" i="66"/>
  <c r="G25" i="66"/>
  <c r="F25" i="66"/>
  <c r="E25" i="66"/>
  <c r="I23" i="66"/>
  <c r="H23" i="66"/>
  <c r="G23" i="66"/>
  <c r="F23" i="66"/>
  <c r="E23" i="66"/>
  <c r="I21" i="66"/>
  <c r="H21" i="66"/>
  <c r="G21" i="66"/>
  <c r="F21" i="66"/>
  <c r="E21" i="66"/>
  <c r="I6" i="66"/>
  <c r="H6" i="66"/>
  <c r="G6" i="66"/>
  <c r="F6" i="66"/>
  <c r="E6" i="6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J26" i="66"/>
  <c r="D39" i="70"/>
  <c r="J7" i="66"/>
  <c r="J8" i="66"/>
  <c r="J10" i="66"/>
  <c r="J16" i="66"/>
  <c r="J22" i="66"/>
  <c r="J24" i="66"/>
  <c r="F5" i="64"/>
  <c r="F6" i="64"/>
  <c r="F7" i="64"/>
  <c r="F8" i="64"/>
  <c r="F9" i="64"/>
  <c r="F10" i="64"/>
  <c r="F11" i="64"/>
  <c r="B12" i="64"/>
  <c r="D12" i="64"/>
  <c r="E12" i="64"/>
  <c r="F5" i="63"/>
  <c r="F6" i="63"/>
  <c r="F40" i="63"/>
  <c r="F41" i="63"/>
  <c r="D42" i="63"/>
  <c r="C92" i="1"/>
  <c r="C3" i="77"/>
  <c r="E3" i="87"/>
  <c r="E91" i="87" s="1"/>
  <c r="J9" i="66"/>
  <c r="C59" i="1"/>
  <c r="C96" i="3"/>
  <c r="O17" i="24" s="1"/>
  <c r="C9" i="88"/>
  <c r="C33" i="88" s="1"/>
  <c r="C45" i="1"/>
  <c r="C20" i="1"/>
  <c r="C50" i="1"/>
  <c r="C65" i="1"/>
  <c r="D128" i="87"/>
  <c r="F12" i="64"/>
  <c r="E128" i="87" l="1"/>
  <c r="C26" i="116"/>
  <c r="C30" i="1"/>
  <c r="C29" i="3"/>
  <c r="O8" i="24" s="1"/>
  <c r="C135" i="3"/>
  <c r="C120" i="1"/>
  <c r="E10" i="61" s="1"/>
  <c r="C64" i="116"/>
  <c r="C38" i="1"/>
  <c r="J21" i="66"/>
  <c r="C87" i="117"/>
  <c r="C63" i="118"/>
  <c r="C66" i="119"/>
  <c r="C58" i="123"/>
  <c r="B39" i="2"/>
  <c r="C57" i="132"/>
  <c r="C57" i="135"/>
  <c r="C74" i="1"/>
  <c r="C19" i="61" s="1"/>
  <c r="C8" i="79"/>
  <c r="C43" i="1"/>
  <c r="C39" i="1"/>
  <c r="C76" i="3"/>
  <c r="C73" i="116"/>
  <c r="C76" i="116"/>
  <c r="C141" i="116"/>
  <c r="C41" i="1"/>
  <c r="C12" i="116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36" i="132"/>
  <c r="C41" i="132" s="1"/>
  <c r="F27" i="66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116" i="3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57" i="105" s="1"/>
  <c r="C36" i="126"/>
  <c r="C156" i="121"/>
  <c r="E87" i="87"/>
  <c r="J6" i="66"/>
  <c r="C38" i="3"/>
  <c r="O9" i="24" s="1"/>
  <c r="I9" i="24" s="1"/>
  <c r="C61" i="3"/>
  <c r="O12" i="24" s="1"/>
  <c r="H12" i="24" s="1"/>
  <c r="E10" i="3"/>
  <c r="C15" i="3"/>
  <c r="O6" i="24" s="1"/>
  <c r="G27" i="66"/>
  <c r="C90" i="120"/>
  <c r="C155" i="120"/>
  <c r="C156" i="120" s="1"/>
  <c r="C37" i="122"/>
  <c r="C37" i="123"/>
  <c r="C42" i="123" s="1"/>
  <c r="C86" i="87"/>
  <c r="C36" i="131"/>
  <c r="C41" i="131" s="1"/>
  <c r="C36" i="134"/>
  <c r="C46" i="1"/>
  <c r="C42" i="1"/>
  <c r="C31" i="79"/>
  <c r="C37" i="79" s="1"/>
  <c r="C100" i="3"/>
  <c r="C94" i="3" s="1"/>
  <c r="C53" i="1"/>
  <c r="C11" i="73" s="1"/>
  <c r="C36" i="141"/>
  <c r="C41" i="141" s="1"/>
  <c r="D154" i="87"/>
  <c r="D87" i="87"/>
  <c r="G16" i="89"/>
  <c r="C56" i="3"/>
  <c r="O11" i="24" s="1"/>
  <c r="C11" i="24" s="1"/>
  <c r="H27" i="66"/>
  <c r="J23" i="66"/>
  <c r="C90" i="119"/>
  <c r="C66" i="120"/>
  <c r="C91" i="120" s="1"/>
  <c r="C90" i="121"/>
  <c r="C37" i="124"/>
  <c r="C36" i="125"/>
  <c r="C40" i="125" s="1"/>
  <c r="C57" i="131"/>
  <c r="C45" i="133"/>
  <c r="C57" i="133" s="1"/>
  <c r="C83" i="3"/>
  <c r="C36" i="138"/>
  <c r="F42" i="63"/>
  <c r="C36" i="1"/>
  <c r="C154" i="87"/>
  <c r="C50" i="3"/>
  <c r="O10" i="24" s="1"/>
  <c r="E10" i="24" s="1"/>
  <c r="C22" i="3"/>
  <c r="O7" i="24" s="1"/>
  <c r="E27" i="66"/>
  <c r="I27" i="66"/>
  <c r="J25" i="66"/>
  <c r="C154" i="117"/>
  <c r="C160" i="117" s="1"/>
  <c r="C154" i="118"/>
  <c r="C160" i="118" s="1"/>
  <c r="C66" i="121"/>
  <c r="C91" i="121" s="1"/>
  <c r="C36" i="127"/>
  <c r="C41" i="127" s="1"/>
  <c r="E153" i="87"/>
  <c r="C58" i="122"/>
  <c r="C41" i="122" s="1"/>
  <c r="C57" i="130"/>
  <c r="C36" i="135"/>
  <c r="C41" i="135" s="1"/>
  <c r="C13" i="3"/>
  <c r="D35" i="137"/>
  <c r="C52" i="79"/>
  <c r="C20" i="105"/>
  <c r="C36" i="105" s="1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C159" i="118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87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E8" i="73" s="1"/>
  <c r="C118" i="1"/>
  <c r="E8" i="61" s="1"/>
  <c r="C40" i="139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F18" i="24"/>
  <c r="J18" i="24"/>
  <c r="N18" i="24"/>
  <c r="G18" i="24"/>
  <c r="K18" i="24"/>
  <c r="D18" i="24"/>
  <c r="H18" i="24"/>
  <c r="L18" i="24"/>
  <c r="E18" i="24"/>
  <c r="I18" i="24"/>
  <c r="M18" i="24"/>
  <c r="C18" i="24"/>
  <c r="E25" i="61"/>
  <c r="C141" i="1"/>
  <c r="C20" i="6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H21" i="24"/>
  <c r="L21" i="24"/>
  <c r="E21" i="24"/>
  <c r="I21" i="24"/>
  <c r="M21" i="24"/>
  <c r="C21" i="24"/>
  <c r="F21" i="24"/>
  <c r="J21" i="24"/>
  <c r="N21" i="24"/>
  <c r="G21" i="24"/>
  <c r="K21" i="24"/>
  <c r="D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F9" i="24" l="1"/>
  <c r="C9" i="24"/>
  <c r="C35" i="1"/>
  <c r="C10" i="73" s="1"/>
  <c r="C90" i="3"/>
  <c r="O13" i="24" s="1"/>
  <c r="I13" i="24" s="1"/>
  <c r="C130" i="3"/>
  <c r="C129" i="116"/>
  <c r="C73" i="1"/>
  <c r="C87" i="1" s="1"/>
  <c r="B7" i="76" s="1"/>
  <c r="M12" i="24"/>
  <c r="K10" i="24"/>
  <c r="I12" i="24"/>
  <c r="L12" i="24"/>
  <c r="C18" i="61"/>
  <c r="E30" i="61"/>
  <c r="D14" i="76" s="1"/>
  <c r="C10" i="24"/>
  <c r="F10" i="24"/>
  <c r="F12" i="24"/>
  <c r="G12" i="24"/>
  <c r="N12" i="24"/>
  <c r="C57" i="129"/>
  <c r="C40" i="129"/>
  <c r="C37" i="129" s="1"/>
  <c r="C41" i="129" s="1"/>
  <c r="C87" i="116"/>
  <c r="H9" i="24"/>
  <c r="C58" i="79"/>
  <c r="C91" i="119"/>
  <c r="E25" i="119" s="1"/>
  <c r="C159" i="117"/>
  <c r="C40" i="126"/>
  <c r="C37" i="126" s="1"/>
  <c r="C41" i="126" s="1"/>
  <c r="J27" i="66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30" i="61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63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C40" i="138"/>
  <c r="C37" i="138" s="1"/>
  <c r="C41" i="138" s="1"/>
  <c r="E6" i="61"/>
  <c r="E17" i="61" s="1"/>
  <c r="E31" i="61" s="1"/>
  <c r="C115" i="1"/>
  <c r="C37" i="125"/>
  <c r="C41" i="125" s="1"/>
  <c r="C17" i="61"/>
  <c r="J13" i="24"/>
  <c r="L13" i="24"/>
  <c r="C19" i="73"/>
  <c r="C29" i="73" s="1"/>
  <c r="C13" i="24" l="1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94" i="1"/>
  <c r="C129" i="1" s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88" i="1"/>
  <c r="B8" i="76" s="1"/>
  <c r="C145" i="119" l="1"/>
  <c r="C142" i="119" s="1"/>
  <c r="C156" i="119" s="1"/>
  <c r="C157" i="119" s="1"/>
  <c r="F157" i="119" s="1"/>
  <c r="E32" i="73"/>
  <c r="D6" i="76"/>
  <c r="E31" i="73"/>
  <c r="C32" i="73"/>
  <c r="C31" i="73"/>
  <c r="E8" i="76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</calcChain>
</file>

<file path=xl/sharedStrings.xml><?xml version="1.0" encoding="utf-8"?>
<sst xmlns="http://schemas.openxmlformats.org/spreadsheetml/2006/main" count="5960" uniqueCount="754">
  <si>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</si>
  <si>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</si>
  <si>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</si>
  <si>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</si>
  <si>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</si>
  <si>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</si>
  <si>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</si>
  <si>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</si>
  <si>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</si>
  <si>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</si>
  <si>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</si>
  <si>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</si>
  <si>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</si>
  <si>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</si>
  <si>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</si>
  <si>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</si>
  <si>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</si>
  <si>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</si>
  <si>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</si>
  <si>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</si>
  <si>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</si>
  <si>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</si>
  <si>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</si>
  <si>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</si>
  <si>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</si>
  <si>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</si>
  <si>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</si>
  <si>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</si>
  <si>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</si>
  <si>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</si>
  <si>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</si>
  <si>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</si>
  <si>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</si>
  <si>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</si>
  <si>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</si>
  <si>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</si>
  <si>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</si>
  <si>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</si>
  <si>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</si>
  <si>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</si>
  <si>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</si>
  <si>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</si>
  <si>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</si>
  <si>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</si>
  <si>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</si>
  <si>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</si>
  <si>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</si>
  <si>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</si>
  <si>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</si>
  <si>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</si>
  <si>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</si>
  <si>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</si>
  <si>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</si>
  <si>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</si>
  <si>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</si>
  <si>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</si>
  <si>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</si>
  <si>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</si>
  <si>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</si>
  <si>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</si>
  <si>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</si>
  <si>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</si>
  <si>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</si>
  <si>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</si>
  <si>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</si>
  <si>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</si>
  <si>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</si>
  <si>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</si>
  <si>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</si>
  <si>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</si>
  <si>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</si>
  <si>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</si>
  <si>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</si>
  <si>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</si>
  <si>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</si>
  <si>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</si>
  <si>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</si>
  <si>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</si>
  <si>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</si>
  <si>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</si>
  <si>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</si>
  <si>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</si>
  <si>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</si>
  <si>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</si>
  <si>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</si>
  <si>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</si>
  <si>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</si>
  <si>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</si>
  <si>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</si>
  <si>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</si>
  <si>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</si>
  <si>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</si>
  <si>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</si>
  <si>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</si>
  <si>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</si>
  <si>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</si>
  <si>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</si>
  <si>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</si>
  <si>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</si>
  <si>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</si>
  <si>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</si>
  <si>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</si>
  <si>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</si>
  <si>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</si>
  <si>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</si>
  <si>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</si>
  <si>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</si>
  <si>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</si>
  <si>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</si>
  <si>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</si>
  <si>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</si>
  <si>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</si>
  <si>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</si>
  <si>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</si>
  <si>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</si>
  <si>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</si>
  <si>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</si>
  <si>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</si>
  <si>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</si>
  <si>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</si>
  <si>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</si>
  <si>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</si>
  <si>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</si>
  <si>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</si>
  <si>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</si>
  <si>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</si>
  <si>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</si>
  <si>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</si>
  <si>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</si>
  <si>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</si>
  <si>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</si>
  <si>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</si>
  <si>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</si>
  <si>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</si>
  <si>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</si>
  <si>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</si>
  <si>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</si>
  <si>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</si>
  <si>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</si>
  <si>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</si>
  <si>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</si>
  <si>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</si>
  <si>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</si>
  <si>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</si>
  <si>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</si>
  <si>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</si>
  <si>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</si>
  <si>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</si>
  <si>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</si>
  <si>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</si>
  <si>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</si>
  <si>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</si>
  <si>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</si>
  <si>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</si>
  <si>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</si>
  <si>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</si>
  <si>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</si>
  <si>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</si>
  <si>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</si>
  <si>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</si>
  <si>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</si>
  <si>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</si>
  <si>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</si>
  <si>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</si>
  <si>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</si>
  <si>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</si>
  <si>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</si>
  <si>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</si>
  <si>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</si>
  <si>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</si>
  <si>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</si>
  <si>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</si>
  <si>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</si>
  <si>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</si>
  <si>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</si>
  <si>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</si>
  <si>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</si>
  <si>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</si>
  <si>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</si>
  <si>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</si>
  <si>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</si>
  <si>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</si>
  <si>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</si>
  <si>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</si>
  <si>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</si>
  <si>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</si>
  <si>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</si>
  <si>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</si>
  <si>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</si>
  <si>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</si>
  <si>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</si>
  <si>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</si>
  <si>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</si>
  <si>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</si>
  <si>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</si>
  <si>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</si>
  <si>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</si>
  <si>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</si>
  <si>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</si>
  <si>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</si>
  <si>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</si>
  <si>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</si>
  <si>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</si>
  <si>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</si>
  <si>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</si>
  <si>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</si>
  <si>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</si>
  <si>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</si>
  <si>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</si>
  <si>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</si>
  <si>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</si>
  <si>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</si>
  <si>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</si>
  <si>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</si>
  <si>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</si>
  <si>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</si>
  <si>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</si>
  <si>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</si>
  <si>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</si>
  <si>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</si>
  <si>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</si>
  <si>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</si>
  <si>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</si>
  <si>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</si>
  <si>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</si>
  <si>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</si>
  <si>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</si>
  <si>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</si>
  <si>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</si>
  <si>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</si>
  <si>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</si>
  <si>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</si>
  <si>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</si>
  <si>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</si>
  <si>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</si>
  <si>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</si>
  <si>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</si>
  <si>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</si>
  <si>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</si>
  <si>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</si>
  <si>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</si>
  <si>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</si>
  <si>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</si>
  <si>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</si>
  <si>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</si>
  <si>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</si>
  <si>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</si>
  <si>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</si>
  <si>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</si>
  <si>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</si>
  <si>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</si>
  <si>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</si>
  <si>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</si>
  <si>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</si>
  <si>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</si>
  <si>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</si>
  <si>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</si>
  <si>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</si>
  <si>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</si>
  <si>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</si>
  <si>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</si>
  <si>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</si>
  <si>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</si>
  <si>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</si>
  <si>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</si>
  <si>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</si>
  <si>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</si>
  <si>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</si>
  <si>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</si>
  <si>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</si>
  <si>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</si>
  <si>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</si>
  <si>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</si>
  <si>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</si>
  <si>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</si>
  <si>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</si>
  <si>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</si>
  <si>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</si>
  <si>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</si>
  <si>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</si>
  <si>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</si>
  <si>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</si>
  <si>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</si>
  <si>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</si>
  <si>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</si>
  <si>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</si>
  <si>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</si>
  <si>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</si>
  <si>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</si>
  <si>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</si>
  <si>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</si>
  <si>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</si>
  <si>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</si>
  <si>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</si>
  <si>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</si>
  <si>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</si>
  <si>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</si>
  <si>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</si>
  <si>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</si>
  <si>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</si>
  <si>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</si>
  <si>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</si>
  <si>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</si>
  <si>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</si>
  <si>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</si>
  <si>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</si>
  <si>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</si>
  <si>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</si>
  <si>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</si>
  <si>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</si>
  <si>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</si>
  <si>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</si>
  <si>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</si>
  <si>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</si>
  <si>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</si>
  <si>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</si>
  <si>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</si>
  <si>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</si>
  <si>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</si>
  <si>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</si>
  <si>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</si>
  <si>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</si>
  <si>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</si>
  <si>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</si>
  <si>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</si>
  <si>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</si>
  <si>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</si>
  <si>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</si>
  <si>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</si>
  <si>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</si>
  <si>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</si>
  <si>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</si>
  <si>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</si>
  <si>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</si>
  <si>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</si>
  <si>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</si>
  <si>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</si>
  <si>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</si>
  <si>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</si>
  <si>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</si>
  <si>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</si>
  <si>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</si>
  <si>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</si>
  <si>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</si>
  <si>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</si>
  <si>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</si>
  <si>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</si>
  <si>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</si>
  <si>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</si>
  <si>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</si>
  <si>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</si>
  <si>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</si>
  <si>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</si>
  <si>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</si>
  <si>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</si>
  <si>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</si>
  <si>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</si>
  <si>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</si>
  <si>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</si>
  <si>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</si>
  <si>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</si>
  <si>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</si>
  <si>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</si>
  <si>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</si>
  <si>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</si>
  <si>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</si>
  <si>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</si>
  <si>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</si>
  <si>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</si>
  <si>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</si>
  <si>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</si>
  <si>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</si>
  <si>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</si>
  <si>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</si>
  <si>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</si>
  <si>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</si>
  <si>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</si>
  <si>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</si>
  <si>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</si>
  <si>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</si>
  <si>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</si>
  <si>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</si>
  <si>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</si>
  <si>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</si>
  <si>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</si>
  <si>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</si>
  <si>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</si>
  <si>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</si>
  <si>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</si>
  <si>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</si>
  <si>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</si>
  <si>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</si>
  <si>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</si>
  <si>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</si>
  <si>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</si>
  <si>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</si>
  <si>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</si>
  <si>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</si>
  <si>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</si>
  <si>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</si>
  <si>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</si>
  <si>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</si>
  <si>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</si>
  <si>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</si>
  <si>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</si>
  <si>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</si>
  <si>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</si>
  <si>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</si>
  <si>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</si>
  <si>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</si>
  <si>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</si>
  <si>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</si>
  <si>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</si>
  <si>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</si>
  <si>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</si>
  <si>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</si>
  <si>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</si>
  <si>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</si>
  <si>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</si>
  <si>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</si>
  <si>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</si>
  <si>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</si>
  <si>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</si>
  <si>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</si>
  <si>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</si>
  <si>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</si>
  <si>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</si>
  <si>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</si>
  <si>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</si>
  <si>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</si>
  <si>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</si>
  <si>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</si>
  <si>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</si>
  <si>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</si>
  <si>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</si>
  <si>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</si>
  <si>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</si>
  <si>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</si>
  <si>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</si>
  <si>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</si>
  <si>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</si>
  <si>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</si>
  <si>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</si>
  <si>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</si>
  <si>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</si>
  <si>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</si>
  <si>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</si>
  <si>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</si>
  <si>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</si>
  <si>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</si>
  <si>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</si>
  <si>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</si>
  <si>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</si>
  <si>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</si>
  <si>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</si>
  <si>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</si>
  <si>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</si>
  <si>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</si>
  <si>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</si>
  <si>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</si>
  <si>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</si>
  <si>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</si>
  <si>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</si>
  <si>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</si>
  <si>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</si>
  <si>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</si>
  <si>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</si>
  <si>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</si>
  <si>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</si>
  <si>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</si>
  <si>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</si>
  <si>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</si>
  <si>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</si>
  <si>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</si>
  <si>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</si>
  <si>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</si>
  <si>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</si>
  <si>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</si>
  <si>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</si>
  <si>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</si>
  <si>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</si>
  <si>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</si>
  <si>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</si>
  <si>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</si>
  <si>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</si>
  <si>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</si>
  <si>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</si>
  <si>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</si>
  <si>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</si>
  <si>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</si>
  <si>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</si>
  <si>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</si>
  <si>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</si>
  <si>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</si>
  <si>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</si>
  <si>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</si>
  <si>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</si>
  <si>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</si>
  <si>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</si>
  <si>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</si>
  <si>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</si>
  <si>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</si>
  <si>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</si>
  <si>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</si>
  <si>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</si>
  <si>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</si>
  <si>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</si>
  <si>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</si>
  <si>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</si>
  <si>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</si>
  <si>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</si>
  <si>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</si>
  <si>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</si>
  <si>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</si>
  <si>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</si>
  <si>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</si>
  <si>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</si>
  <si>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</si>
  <si>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</si>
  <si>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</si>
  <si>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</si>
  <si>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</si>
  <si>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</si>
  <si>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</si>
  <si>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</si>
  <si>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</si>
  <si>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</si>
  <si>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</si>
  <si>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</si>
  <si>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</si>
  <si>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</si>
  <si>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</si>
  <si>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</si>
  <si>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</si>
  <si>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</si>
  <si>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</si>
  <si>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</si>
  <si>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</si>
  <si>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</si>
  <si>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</si>
  <si>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</si>
  <si>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</si>
  <si>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</si>
  <si>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</si>
  <si>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</si>
  <si>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</si>
  <si>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</si>
  <si>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</si>
  <si>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</si>
  <si>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</si>
  <si>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</si>
  <si>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</si>
  <si>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</si>
  <si>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</si>
  <si>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</si>
  <si>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</si>
  <si>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</si>
  <si>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</si>
  <si>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</si>
  <si>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</si>
  <si>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</si>
  <si>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</si>
  <si>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</si>
  <si>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</si>
  <si>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</si>
  <si>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</si>
  <si>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</si>
  <si>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</si>
  <si>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</si>
  <si>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</si>
  <si>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</si>
  <si>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</si>
  <si>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</si>
  <si>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</si>
  <si>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</si>
  <si>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</si>
  <si>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</si>
  <si>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</si>
  <si>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</si>
  <si>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</si>
  <si>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</si>
  <si>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</si>
  <si>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</si>
  <si>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>2014</t>
  </si>
  <si>
    <t>2015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</si>
  <si>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</si>
  <si>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</si>
  <si>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</si>
  <si>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</si>
  <si>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</si>
  <si>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</si>
  <si>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</si>
  <si>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</si>
  <si>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</si>
  <si>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pm</t>
  </si>
  <si>
    <t>kommunális</t>
  </si>
  <si>
    <t>bírság</t>
  </si>
  <si>
    <t>pótlék</t>
  </si>
  <si>
    <t>mezőőri</t>
  </si>
  <si>
    <t>mintagazd</t>
  </si>
  <si>
    <t>lakbér</t>
  </si>
  <si>
    <t>szolgáltatás</t>
  </si>
  <si>
    <t>bérleti díj</t>
  </si>
  <si>
    <t>vagyonkezelői díj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</si>
  <si>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</si>
  <si>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</si>
  <si>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</si>
  <si>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</si>
  <si>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</si>
  <si>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</si>
  <si>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</si>
  <si>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</si>
  <si>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</si>
  <si>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</si>
  <si>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A 2015. évről áthúzódó bérkompenzáció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</si>
  <si>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</si>
  <si>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</si>
  <si>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</si>
  <si>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</si>
  <si>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</si>
  <si>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</si>
  <si>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</si>
  <si>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</si>
  <si>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</si>
  <si>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</si>
  <si>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</si>
  <si>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</si>
  <si>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</si>
  <si>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</si>
  <si>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</si>
  <si>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</si>
  <si>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</si>
  <si>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</si>
  <si>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</si>
  <si>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</si>
  <si>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</si>
  <si>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jövedéki</t>
  </si>
  <si>
    <t>Kult.pótlék</t>
  </si>
  <si>
    <t>szoc. Ágazat</t>
  </si>
  <si>
    <t>bérkomp</t>
  </si>
  <si>
    <t>sport</t>
  </si>
  <si>
    <t>hiány</t>
  </si>
  <si>
    <t>2017</t>
  </si>
  <si>
    <t>Nagyértékű gépek beszerzése közmunka</t>
  </si>
  <si>
    <t>- ebből: Környezetvédelmi programhoz kapcsolódó kiadások összege</t>
  </si>
  <si>
    <t>Lejárata</t>
  </si>
  <si>
    <t>I</t>
  </si>
  <si>
    <t>J=(E+F+G+H+I)</t>
  </si>
  <si>
    <t>2029</t>
  </si>
  <si>
    <t>2030</t>
  </si>
  <si>
    <t>2021</t>
  </si>
  <si>
    <t>2032</t>
  </si>
  <si>
    <t>Ibrányi 2162 hrsz</t>
  </si>
  <si>
    <t>Ibrányi 193/1 hrsz</t>
  </si>
  <si>
    <t>Ibrányi 2074/2 hrsz</t>
  </si>
  <si>
    <t>Ibrányi 0282/7 hrsz</t>
  </si>
  <si>
    <t>Ibrányi 1073 hrsz</t>
  </si>
  <si>
    <t>Ibrányi 2071 hrsz</t>
  </si>
  <si>
    <t>Összesen (1+4+12+14)</t>
  </si>
  <si>
    <t>MFB hitelszerződés 1-2-14-4400-0425-3 tőke</t>
  </si>
  <si>
    <t>MFB hitelszerződés 1-2-14-4400-0423-1 tőke</t>
  </si>
  <si>
    <t>MFB hitelszerződés 1-2-14-4400-0423-1 kamat</t>
  </si>
  <si>
    <t>MFB hitelszerződés 1-2-14-4400-0425-3 kamat</t>
  </si>
  <si>
    <t>1314/3. hrsz-ú ingatlan vásárlás tőke</t>
  </si>
  <si>
    <t>1314/3. hrsz-ú ingatlan vásárlás kamat</t>
  </si>
  <si>
    <t>Lízingszerződés autóvásárláshoz kapcsolódóan - tőke</t>
  </si>
  <si>
    <t>Lízingszerződés autóvásárláshoz kapcsolódóan - kamat</t>
  </si>
  <si>
    <t>Felvett, átvállalt hitel, annk tőketartozása és kamata</t>
  </si>
  <si>
    <t>Pénzügyi lízing tőketartozása és kamata</t>
  </si>
  <si>
    <t>2018. évi előirányzat BEVÉTELEK</t>
  </si>
  <si>
    <t>2018. évi előirányzat</t>
  </si>
  <si>
    <t>Az önkormányzat által adott közvetett támogatások 2018. évben
(kedvezmények)</t>
  </si>
  <si>
    <t>a) 65. életéveét betöltött egyedül élő nőnek, férfinak, a korhatár elérését követő évtől (339 fő)</t>
  </si>
  <si>
    <t>b) 70. életévüket(mindketten) betöltött házaspárnak, a korhatár elérését követő évtől (201 fő)</t>
  </si>
  <si>
    <t>Aki saját háztartásában 3, vagy több kikorú gyermek eltartásáról gondoskodik (152 fő)</t>
  </si>
  <si>
    <t>az a lakáscélú ingatlan, melyben orvosi rendelő működik (1 db)</t>
  </si>
  <si>
    <t>Polgárőrök 50 %-os kedvezménye (45 fő)</t>
  </si>
  <si>
    <t>Beépítetlen építési telek 50 %-os kevezménye (60 db)</t>
  </si>
  <si>
    <t>Ingatlanvásárlás I. (hrsz: 2162; 193/1)</t>
  </si>
  <si>
    <t>Ingatlanvásárlás II. (hrsz: 2071; 0282/7; 1073)</t>
  </si>
  <si>
    <t>2018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</si>
  <si>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</si>
  <si>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</si>
  <si>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</si>
  <si>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</si>
  <si>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</si>
  <si>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b (2) Alapfokozatú végzettségű mesterpedagógus kategóriába sorolt óvodapedagógusok kieg. tám., akik a minősítést 2018. 01. 1-jei átsorolással szerezték meg</t>
  </si>
  <si>
    <t>II. 4. a (1) Alapfokozatú végzettségű pedagógus II. kategóriába sorolt óvodapedagógusok kieg. tám., akik a minősítést 2016. 12. 31-ig szerezték meg</t>
  </si>
  <si>
    <t>Ibrányi Helytörténeti Egyesület</t>
  </si>
  <si>
    <t>Váci Mihály Társaság Kulturális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</si>
  <si>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</si>
  <si>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</si>
  <si>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</si>
  <si>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</si>
  <si>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0127/4</t>
  </si>
  <si>
    <t>Ibrányi 0127/20 hrsz</t>
  </si>
  <si>
    <t>Ibrányi 0276/47 hrsz</t>
  </si>
  <si>
    <t>Ibrányi 1801 hrsz</t>
  </si>
  <si>
    <t>Ibrányi 2783 hrsz</t>
  </si>
  <si>
    <t>Ibrányi 04/41 hrsz</t>
  </si>
  <si>
    <t>Ibrányi 1397 hrsz</t>
  </si>
  <si>
    <t>Ibrányi 1398 hrsz</t>
  </si>
  <si>
    <t>Ibrányi 1399 hrsz</t>
  </si>
  <si>
    <t>Ibrányi 1401 hrsz</t>
  </si>
  <si>
    <t>Ibrányi 1423 hrsz</t>
  </si>
  <si>
    <t>Ibrányi 1652 hrsz</t>
  </si>
  <si>
    <t>Ibrányi 2221 hrsz</t>
  </si>
  <si>
    <t>Ibrányi 166 hrsz</t>
  </si>
  <si>
    <t>Ibrányi 1431 hrsz</t>
  </si>
  <si>
    <t>Ibrányi 1651/1 hrsz</t>
  </si>
  <si>
    <t>Egyéb ingatlan vásárlás</t>
  </si>
  <si>
    <t>Eu</t>
  </si>
  <si>
    <t>Kommunális adó</t>
  </si>
  <si>
    <t>4.8.</t>
  </si>
  <si>
    <t>Közvetített szolg</t>
  </si>
  <si>
    <t>Kommunnális adó</t>
  </si>
  <si>
    <t xml:space="preserve">Petőfi út felújítása </t>
  </si>
  <si>
    <t>2017, 2018</t>
  </si>
  <si>
    <t>TOP 4.3.1. pályázat beruházás</t>
  </si>
  <si>
    <t>TOP 1.1.1. pályázat beruházás</t>
  </si>
  <si>
    <t>ASP</t>
  </si>
  <si>
    <t>EFOP 1.2.11 pályázat beruházás</t>
  </si>
  <si>
    <t>TOP 5.2.1.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</si>
  <si>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</si>
  <si>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</si>
  <si>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</si>
  <si>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</si>
  <si>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</si>
  <si>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</si>
  <si>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2018. Éves eredeti kiadási előirányzat: 2 125 500 ezer Ft</t>
  </si>
  <si>
    <t>Ibrány SE támogatása</t>
  </si>
  <si>
    <t>34.</t>
  </si>
  <si>
    <t>Ibárnyi Úszó Sportegyesület</t>
  </si>
  <si>
    <t>Felelősséggel Kultúránkért Összművésezti Egyesület</t>
  </si>
  <si>
    <t>Ingatlanvásárlás I. (ibrányi 2162, 193/1 hrsz-ú ingatlanok megvásárlása a helyi ifjúság helyben maradásának elősegítése érdekében)</t>
  </si>
  <si>
    <t>Ingatlanvásárlás II. (ibrányi 2071, 0282/7 és 1073 hrsz-ú lakóingatlanok megvásárlása a helyi gazdaságszervezéssel összefüggésben)</t>
  </si>
  <si>
    <t>Váci</t>
  </si>
  <si>
    <t>Tánc</t>
  </si>
  <si>
    <t>helytört</t>
  </si>
  <si>
    <t>Ibrány jövő</t>
  </si>
  <si>
    <t>RFE</t>
  </si>
  <si>
    <t>Hitelszerződés 2085/1 hrsz-ú ingatlan vásárlása</t>
  </si>
  <si>
    <t>Páramentesítő</t>
  </si>
  <si>
    <t>TOP-1.1.1-15-SB-2016-00014 Az Északi és déli Iparterület fejlesztése Ibrányban</t>
  </si>
  <si>
    <t>2019 után</t>
  </si>
  <si>
    <t>TOP-1.2.1-15-SB1-2016-00016 A Rétköz turisztikai kínálatának integrált fejlesztése</t>
  </si>
  <si>
    <t>KÖFOP-1.2.1-VEKOP-16-2017-01219 Ibrány Város Önkormányzata ASP központhoz való csatlakozása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</si>
  <si>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</si>
  <si>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</si>
  <si>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</si>
  <si>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</si>
  <si>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</si>
  <si>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</si>
  <si>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EFOP-1.2.11-16-2017-00065 Ezer szállal Ibrányhoz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</si>
</sst>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26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0" fontId="27" fillId="0" borderId="35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6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7" xfId="0" applyFont="1" applyFill="1" applyBorder="1" applyAlignment="1" applyProtection="1">
      <alignment horizontal="right"/>
    </xf>
    <xf numFmtId="164" fontId="37" fillId="0" borderId="37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8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9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4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4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7" xfId="0" applyFill="1" applyBorder="1" applyProtection="1"/>
    <xf numFmtId="0" fontId="6" fillId="0" borderId="47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8" xfId="0" applyNumberFormat="1" applyFont="1" applyFill="1" applyBorder="1" applyAlignment="1" applyProtection="1">
      <alignment vertical="center" wrapTex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7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2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3" xfId="1" applyNumberFormat="1" applyFont="1" applyFill="1" applyBorder="1" applyProtection="1">
      <protection locked="0"/>
    </xf>
    <xf numFmtId="165" fontId="30" fillId="0" borderId="48" xfId="1" applyNumberFormat="1" applyFont="1" applyFill="1" applyBorder="1" applyProtection="1">
      <protection locked="0"/>
    </xf>
    <xf numFmtId="165" fontId="30" fillId="0" borderId="43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8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4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5" xfId="4" applyFont="1" applyFill="1" applyBorder="1" applyAlignment="1" applyProtection="1">
      <alignment horizontal="center" vertical="center" wrapText="1"/>
    </xf>
    <xf numFmtId="0" fontId="7" fillId="0" borderId="55" xfId="4" applyFont="1" applyFill="1" applyBorder="1" applyAlignment="1" applyProtection="1">
      <alignment vertical="center" wrapText="1"/>
    </xf>
    <xf numFmtId="164" fontId="7" fillId="0" borderId="55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  <protection locked="0"/>
    </xf>
    <xf numFmtId="164" fontId="30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2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4" xfId="4" applyFont="1" applyFill="1" applyBorder="1" applyAlignment="1" applyProtection="1">
      <alignment horizontal="center" vertical="center" wrapText="1"/>
    </xf>
    <xf numFmtId="164" fontId="27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8" xfId="4" applyNumberFormat="1" applyFont="1" applyFill="1" applyBorder="1" applyAlignment="1" applyProtection="1">
      <alignment horizontal="right" vertical="center" wrapText="1" indent="1"/>
    </xf>
    <xf numFmtId="0" fontId="20" fillId="0" borderId="38" xfId="4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9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4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9" xfId="4" applyNumberFormat="1" applyFont="1" applyFill="1" applyBorder="1" applyAlignment="1" applyProtection="1">
      <alignment horizontal="right" vertical="center" wrapText="1" indent="1"/>
    </xf>
    <xf numFmtId="164" fontId="22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4" xfId="4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</xf>
    <xf numFmtId="164" fontId="28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9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4" xfId="4" applyNumberFormat="1" applyFont="1" applyFill="1" applyBorder="1" applyAlignment="1" applyProtection="1">
      <alignment horizontal="right" vertical="center" wrapText="1" indent="1"/>
    </xf>
    <xf numFmtId="0" fontId="22" fillId="0" borderId="55" xfId="4" applyFont="1" applyFill="1" applyBorder="1" applyAlignment="1" applyProtection="1">
      <alignment horizontal="right" vertical="center" wrapText="1" indent="1"/>
    </xf>
    <xf numFmtId="164" fontId="30" fillId="0" borderId="55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8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9" xfId="0" applyNumberFormat="1" applyFont="1" applyFill="1" applyBorder="1" applyAlignment="1" applyProtection="1">
      <alignment horizontal="center" vertical="center" wrapText="1"/>
    </xf>
    <xf numFmtId="164" fontId="20" fillId="0" borderId="39" xfId="0" applyNumberFormat="1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left" vertical="center" wrapText="1" indent="1"/>
    </xf>
    <xf numFmtId="164" fontId="29" fillId="0" borderId="39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2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7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7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7" xfId="0" applyFont="1" applyFill="1" applyBorder="1" applyAlignment="1" applyProtection="1">
      <alignment horizontal="left" vertical="center" wrapText="1" indent="1"/>
    </xf>
    <xf numFmtId="164" fontId="3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22" fillId="0" borderId="63" xfId="0" applyNumberFormat="1" applyFont="1" applyFill="1" applyBorder="1" applyAlignment="1" applyProtection="1">
      <alignment vertical="center" wrapText="1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22" xfId="0" applyNumberFormat="1" applyFont="1" applyFill="1" applyBorder="1" applyAlignment="1" applyProtection="1">
      <alignment vertical="center" wrapText="1"/>
      <protection locked="0"/>
    </xf>
    <xf numFmtId="164" fontId="22" fillId="0" borderId="23" xfId="0" applyNumberFormat="1" applyFont="1" applyFill="1" applyBorder="1" applyAlignment="1" applyProtection="1">
      <alignment vertical="center" wrapText="1"/>
      <protection locked="0"/>
    </xf>
    <xf numFmtId="164" fontId="22" fillId="0" borderId="39" xfId="0" applyNumberFormat="1" applyFont="1" applyFill="1" applyBorder="1" applyAlignment="1" applyProtection="1">
      <alignment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0" xfId="0" applyNumberFormat="1" applyFont="1" applyFill="1" applyBorder="1" applyAlignment="1" applyProtection="1">
      <alignment vertical="center" wrapText="1"/>
      <protection locked="0"/>
    </xf>
    <xf numFmtId="49" fontId="1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6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62" xfId="0" applyNumberFormat="1" applyFont="1" applyFill="1" applyBorder="1" applyAlignment="1" applyProtection="1">
      <alignment horizontal="center" vertical="center" wrapText="1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46" xfId="0" applyNumberFormat="1" applyFont="1" applyFill="1" applyBorder="1" applyAlignment="1" applyProtection="1">
      <alignment horizontal="left" vertical="center" wrapText="1" indent="2"/>
    </xf>
    <xf numFmtId="49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49" fontId="15" fillId="0" borderId="62" xfId="6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horizontal="left" vertical="center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9" xfId="1" applyNumberFormat="1" applyFont="1" applyFill="1" applyBorder="1" applyAlignment="1">
      <alignment horizontal="center" vertical="center"/>
    </xf>
    <xf numFmtId="164" fontId="22" fillId="0" borderId="69" xfId="6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9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7" xfId="4" applyNumberFormat="1" applyFont="1" applyFill="1" applyBorder="1" applyAlignment="1" applyProtection="1">
      <alignment horizontal="left" vertical="center"/>
    </xf>
    <xf numFmtId="164" fontId="37" fillId="0" borderId="37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5" xfId="0" applyNumberFormat="1" applyFont="1" applyFill="1" applyBorder="1" applyAlignment="1" applyProtection="1">
      <alignment horizontal="center" vertical="center" wrapText="1"/>
    </xf>
    <xf numFmtId="164" fontId="31" fillId="0" borderId="63" xfId="0" applyNumberFormat="1" applyFont="1" applyFill="1" applyBorder="1" applyAlignment="1" applyProtection="1">
      <alignment horizontal="center" vertical="center" wrapText="1"/>
    </xf>
    <xf numFmtId="164" fontId="31" fillId="0" borderId="64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5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3" fillId="0" borderId="3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2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5" xfId="0" applyNumberFormat="1" applyFont="1" applyFill="1" applyBorder="1" applyAlignment="1" applyProtection="1">
      <alignment horizontal="left" vertical="center" wrapText="1" indent="2"/>
    </xf>
    <xf numFmtId="164" fontId="8" fillId="0" borderId="38" xfId="0" applyNumberFormat="1" applyFont="1" applyFill="1" applyBorder="1" applyAlignment="1" applyProtection="1">
      <alignment horizontal="left" vertical="center" wrapText="1" indent="2"/>
    </xf>
    <xf numFmtId="164" fontId="8" fillId="0" borderId="61" xfId="0" applyNumberFormat="1" applyFont="1" applyFill="1" applyBorder="1" applyAlignment="1" applyProtection="1">
      <alignment horizontal="center" vertical="center"/>
    </xf>
    <xf numFmtId="164" fontId="8" fillId="0" borderId="62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62" xfId="0" applyNumberFormat="1" applyFont="1" applyFill="1" applyBorder="1" applyAlignment="1" applyProtection="1">
      <alignment horizontal="center" vertical="center" wrapText="1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70" xfId="0" applyNumberFormat="1" applyFont="1" applyFill="1" applyBorder="1" applyAlignment="1" applyProtection="1">
      <alignment horizontal="center" vertical="center"/>
    </xf>
    <xf numFmtId="0" fontId="30" fillId="0" borderId="5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8" xfId="5" applyFont="1" applyFill="1" applyBorder="1" applyAlignment="1" applyProtection="1">
      <alignment horizontal="left" vertical="center" indent="1"/>
    </xf>
    <xf numFmtId="0" fontId="21" fillId="0" borderId="55" xfId="5" applyFont="1" applyFill="1" applyBorder="1" applyAlignment="1" applyProtection="1">
      <alignment horizontal="left" vertical="center" indent="1"/>
    </xf>
    <xf numFmtId="0" fontId="21" fillId="0" borderId="59" xfId="5" applyFont="1" applyFill="1" applyBorder="1" applyAlignment="1" applyProtection="1">
      <alignment horizontal="left" vertical="center" indent="1"/>
    </xf>
    <xf numFmtId="0" fontId="21" fillId="0" borderId="36" xfId="5" applyFont="1" applyFill="1" applyBorder="1" applyAlignment="1" applyProtection="1">
      <alignment horizontal="left" vertical="center" indent="1"/>
    </xf>
    <xf numFmtId="0" fontId="21" fillId="0" borderId="46" xfId="5" applyFont="1" applyFill="1" applyBorder="1" applyAlignment="1" applyProtection="1">
      <alignment horizontal="left" vertical="center" indent="1"/>
    </xf>
    <xf numFmtId="0" fontId="21" fillId="0" borderId="38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5" xfId="0" applyFont="1" applyBorder="1" applyAlignment="1" applyProtection="1">
      <alignment horizontal="left" vertical="center" indent="2"/>
    </xf>
    <xf numFmtId="0" fontId="31" fillId="0" borderId="44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5" sqref="A5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151</v>
      </c>
    </row>
    <row r="4" spans="1:2" x14ac:dyDescent="0.2">
      <c r="A4" s="160"/>
      <c r="B4" s="160"/>
    </row>
    <row r="5" spans="1:2" s="172" customFormat="1" ht="15.75" x14ac:dyDescent="0.25">
      <c r="A5" s="106" t="s">
        <v>669</v>
      </c>
      <c r="B5" s="171"/>
    </row>
    <row r="6" spans="1:2" x14ac:dyDescent="0.2">
      <c r="A6" s="160"/>
      <c r="B6" s="160"/>
    </row>
    <row r="7" spans="1:2" x14ac:dyDescent="0.2">
      <c r="A7" s="160" t="s">
        <v>547</v>
      </c>
      <c r="B7" s="160" t="s">
        <v>489</v>
      </c>
    </row>
    <row r="8" spans="1:2" x14ac:dyDescent="0.2">
      <c r="A8" s="160" t="s">
        <v>548</v>
      </c>
      <c r="B8" s="160" t="s">
        <v>490</v>
      </c>
    </row>
    <row r="9" spans="1:2" x14ac:dyDescent="0.2">
      <c r="A9" s="160" t="s">
        <v>549</v>
      </c>
      <c r="B9" s="160" t="s">
        <v>491</v>
      </c>
    </row>
    <row r="10" spans="1:2" x14ac:dyDescent="0.2">
      <c r="A10" s="160"/>
      <c r="B10" s="160"/>
    </row>
    <row r="11" spans="1:2" x14ac:dyDescent="0.2">
      <c r="A11" s="160"/>
      <c r="B11" s="160"/>
    </row>
    <row r="12" spans="1:2" s="172" customFormat="1" ht="15.75" x14ac:dyDescent="0.25">
      <c r="A12" s="106" t="str">
        <f>+CONCATENATE(LEFT(A5,4),". évi előirányzat KIADÁSOK")</f>
        <v>2018. évi előirányzat KIADÁSOK</v>
      </c>
      <c r="B12" s="171"/>
    </row>
    <row r="13" spans="1:2" x14ac:dyDescent="0.2">
      <c r="A13" s="160"/>
      <c r="B13" s="160"/>
    </row>
    <row r="14" spans="1:2" x14ac:dyDescent="0.2">
      <c r="A14" s="160" t="s">
        <v>550</v>
      </c>
      <c r="B14" s="160" t="s">
        <v>492</v>
      </c>
    </row>
    <row r="15" spans="1:2" x14ac:dyDescent="0.2">
      <c r="A15" s="160" t="s">
        <v>551</v>
      </c>
      <c r="B15" s="160" t="s">
        <v>493</v>
      </c>
    </row>
    <row r="16" spans="1:2" x14ac:dyDescent="0.2">
      <c r="A16" s="160" t="s">
        <v>552</v>
      </c>
      <c r="B16" s="160" t="s">
        <v>494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15" sqref="C15"/>
    </sheetView>
  </sheetViews>
  <sheetFormatPr defaultRowHeight="15" x14ac:dyDescent="0.25"/>
  <cols>
    <col min="1" max="1" width="5.6640625" style="174" customWidth="1"/>
    <col min="2" max="2" width="68.6640625" style="174" customWidth="1"/>
    <col min="3" max="3" width="19.5" style="174" customWidth="1"/>
    <col min="4" max="16384" width="9.33203125" style="174"/>
  </cols>
  <sheetData>
    <row r="1" spans="1:4" ht="33" customHeight="1" x14ac:dyDescent="0.25">
      <c r="A1" s="679" t="s">
        <v>568</v>
      </c>
      <c r="B1" s="679"/>
      <c r="C1" s="679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193</v>
      </c>
      <c r="C3" s="204" t="str">
        <f>+'1.1.sz.mell.'!C3</f>
        <v>2018. évi előirányzat</v>
      </c>
    </row>
    <row r="4" spans="1:4" ht="15.75" thickBot="1" x14ac:dyDescent="0.3">
      <c r="A4" s="205"/>
      <c r="B4" s="565" t="s">
        <v>495</v>
      </c>
      <c r="C4" s="566" t="s">
        <v>496</v>
      </c>
    </row>
    <row r="5" spans="1:4" x14ac:dyDescent="0.25">
      <c r="A5" s="206" t="s">
        <v>18</v>
      </c>
      <c r="B5" s="390" t="s">
        <v>504</v>
      </c>
      <c r="C5" s="387">
        <v>94025</v>
      </c>
    </row>
    <row r="6" spans="1:4" ht="24.75" x14ac:dyDescent="0.25">
      <c r="A6" s="207" t="s">
        <v>19</v>
      </c>
      <c r="B6" s="426" t="s">
        <v>247</v>
      </c>
      <c r="C6" s="388">
        <v>0</v>
      </c>
    </row>
    <row r="7" spans="1:4" x14ac:dyDescent="0.25">
      <c r="A7" s="207" t="s">
        <v>20</v>
      </c>
      <c r="B7" s="427" t="s">
        <v>505</v>
      </c>
      <c r="C7" s="388"/>
    </row>
    <row r="8" spans="1:4" ht="24.75" x14ac:dyDescent="0.25">
      <c r="A8" s="207" t="s">
        <v>21</v>
      </c>
      <c r="B8" s="427" t="s">
        <v>249</v>
      </c>
      <c r="C8" s="388">
        <v>70643</v>
      </c>
    </row>
    <row r="9" spans="1:4" x14ac:dyDescent="0.25">
      <c r="A9" s="208" t="s">
        <v>22</v>
      </c>
      <c r="B9" s="427" t="s">
        <v>248</v>
      </c>
      <c r="C9" s="389">
        <v>1400</v>
      </c>
    </row>
    <row r="10" spans="1:4" ht="15.75" thickBot="1" x14ac:dyDescent="0.3">
      <c r="A10" s="207" t="s">
        <v>23</v>
      </c>
      <c r="B10" s="428" t="s">
        <v>506</v>
      </c>
      <c r="C10" s="388"/>
    </row>
    <row r="11" spans="1:4" ht="15.75" thickBot="1" x14ac:dyDescent="0.3">
      <c r="A11" s="688" t="s">
        <v>196</v>
      </c>
      <c r="B11" s="689"/>
      <c r="C11" s="209">
        <f>SUM(C5:C10)</f>
        <v>166068</v>
      </c>
    </row>
    <row r="12" spans="1:4" ht="23.25" customHeight="1" x14ac:dyDescent="0.25">
      <c r="A12" s="690" t="s">
        <v>222</v>
      </c>
      <c r="B12" s="690"/>
      <c r="C12" s="690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4/2018. (II. 20.)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21" sqref="B21:C21"/>
    </sheetView>
  </sheetViews>
  <sheetFormatPr defaultRowHeight="15" x14ac:dyDescent="0.25"/>
  <cols>
    <col min="1" max="1" width="5.6640625" style="174" customWidth="1"/>
    <col min="2" max="2" width="66.83203125" style="174" customWidth="1"/>
    <col min="3" max="3" width="27" style="174" customWidth="1"/>
    <col min="4" max="16384" width="9.33203125" style="174"/>
  </cols>
  <sheetData>
    <row r="1" spans="1:4" ht="33" customHeight="1" x14ac:dyDescent="0.25">
      <c r="A1" s="679" t="str">
        <f>+CONCATENATE("Ibrány Város Önkormányzata ",CONCATENATE(LEFT(ÖSSZEFÜGGÉSEK!A5,4),". évi adósságot keletkeztető fejlesztési céljai"))</f>
        <v>Ibrány Város Önkormányzata 2018. évi adósságot keletkeztető fejlesztési céljai</v>
      </c>
      <c r="B1" s="679"/>
      <c r="C1" s="679"/>
    </row>
    <row r="2" spans="1:4" ht="15.95" customHeight="1" thickBot="1" x14ac:dyDescent="0.3">
      <c r="A2" s="175"/>
      <c r="B2" s="175"/>
      <c r="C2" s="185" t="s">
        <v>55</v>
      </c>
      <c r="D2" s="181"/>
    </row>
    <row r="3" spans="1:4" ht="26.25" customHeight="1" thickBot="1" x14ac:dyDescent="0.3">
      <c r="A3" s="202" t="s">
        <v>16</v>
      </c>
      <c r="B3" s="203" t="s">
        <v>197</v>
      </c>
      <c r="C3" s="204" t="s">
        <v>221</v>
      </c>
    </row>
    <row r="4" spans="1:4" ht="15.75" thickBot="1" x14ac:dyDescent="0.3">
      <c r="A4" s="205"/>
      <c r="B4" s="565" t="s">
        <v>495</v>
      </c>
      <c r="C4" s="566" t="s">
        <v>496</v>
      </c>
    </row>
    <row r="5" spans="1:4" ht="23.25" x14ac:dyDescent="0.25">
      <c r="A5" s="206" t="s">
        <v>18</v>
      </c>
      <c r="B5" s="653" t="s">
        <v>734</v>
      </c>
      <c r="C5" s="210">
        <v>6500</v>
      </c>
    </row>
    <row r="6" spans="1:4" ht="23.25" x14ac:dyDescent="0.25">
      <c r="A6" s="207" t="s">
        <v>19</v>
      </c>
      <c r="B6" s="654" t="s">
        <v>735</v>
      </c>
      <c r="C6" s="211">
        <v>9900</v>
      </c>
    </row>
    <row r="7" spans="1:4" ht="15.75" thickBot="1" x14ac:dyDescent="0.3">
      <c r="A7" s="208" t="s">
        <v>20</v>
      </c>
      <c r="B7" s="654"/>
      <c r="C7" s="212"/>
    </row>
    <row r="8" spans="1:4" s="514" customFormat="1" ht="17.25" customHeight="1" thickBot="1" x14ac:dyDescent="0.25">
      <c r="A8" s="515" t="s">
        <v>21</v>
      </c>
      <c r="B8" s="157" t="s">
        <v>198</v>
      </c>
      <c r="C8" s="209">
        <f>SUM(C5:C7)</f>
        <v>16400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4/2018. (II. 20.)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view="pageLayout" zoomScaleNormal="100" workbookViewId="0">
      <selection activeCell="E8" sqref="E8"/>
    </sheetView>
  </sheetViews>
  <sheetFormatPr defaultRowHeight="12.75" x14ac:dyDescent="0.2"/>
  <cols>
    <col min="1" max="1" width="34.83203125" style="48" customWidth="1"/>
    <col min="2" max="2" width="12.83203125" style="47" customWidth="1"/>
    <col min="3" max="3" width="14.1640625" style="47" customWidth="1"/>
    <col min="4" max="4" width="14.83203125" style="47" customWidth="1"/>
    <col min="5" max="5" width="12.6640625" style="47" customWidth="1"/>
    <col min="6" max="6" width="15" style="61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5.5" customHeight="1" x14ac:dyDescent="0.2">
      <c r="A1" s="691" t="s">
        <v>0</v>
      </c>
      <c r="B1" s="691"/>
      <c r="C1" s="691"/>
      <c r="D1" s="691"/>
      <c r="E1" s="691"/>
      <c r="F1" s="691"/>
    </row>
    <row r="2" spans="1:6" ht="22.5" customHeight="1" thickBot="1" x14ac:dyDescent="0.3">
      <c r="A2" s="215"/>
      <c r="B2" s="61"/>
      <c r="C2" s="61"/>
      <c r="D2" s="61"/>
      <c r="E2" s="61"/>
      <c r="F2" s="642" t="s">
        <v>61</v>
      </c>
    </row>
    <row r="3" spans="1:6" s="50" customFormat="1" ht="44.25" customHeight="1" thickBot="1" x14ac:dyDescent="0.25">
      <c r="A3" s="216" t="s">
        <v>65</v>
      </c>
      <c r="B3" s="217" t="s">
        <v>66</v>
      </c>
      <c r="C3" s="217" t="s">
        <v>67</v>
      </c>
      <c r="D3" s="217" t="str">
        <f>+CONCATENATE("Felhasználás   ",LEFT(ÖSSZEFÜGGÉSEK!A5,4)-1,". XII. 31-ig")</f>
        <v>Felhasználás   2017. XII. 31-ig</v>
      </c>
      <c r="E3" s="217" t="str">
        <f>+'1.1.sz.mell.'!C3</f>
        <v>2018. évi előirányzat</v>
      </c>
      <c r="F3" s="58" t="str">
        <f>+CONCATENATE(LEFT(ÖSSZEFÜGGÉSEK!A5,4),". utáni szükséglet")</f>
        <v>2018. utáni szükséglet</v>
      </c>
    </row>
    <row r="4" spans="1:6" s="61" customFormat="1" ht="12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69" t="s">
        <v>565</v>
      </c>
    </row>
    <row r="5" spans="1:6" ht="15.95" customHeight="1" x14ac:dyDescent="0.2">
      <c r="A5" s="516" t="s">
        <v>643</v>
      </c>
      <c r="B5" s="28">
        <v>3448</v>
      </c>
      <c r="C5" s="517" t="s">
        <v>680</v>
      </c>
      <c r="D5" s="28"/>
      <c r="E5" s="28">
        <v>3448</v>
      </c>
      <c r="F5" s="62">
        <f>B5-D5-E5</f>
        <v>0</v>
      </c>
    </row>
    <row r="6" spans="1:6" ht="15.95" customHeight="1" x14ac:dyDescent="0.2">
      <c r="A6" s="516" t="s">
        <v>630</v>
      </c>
      <c r="B6" s="28">
        <f>SUM(B7:B29)</f>
        <v>77856</v>
      </c>
      <c r="C6" s="517" t="s">
        <v>680</v>
      </c>
      <c r="D6" s="28"/>
      <c r="E6" s="28">
        <f>SUM(E7:E29)</f>
        <v>77856</v>
      </c>
      <c r="F6" s="62">
        <f>B6-D6-E6</f>
        <v>0</v>
      </c>
    </row>
    <row r="7" spans="1:6" ht="15.95" customHeight="1" x14ac:dyDescent="0.2">
      <c r="A7" s="643" t="s">
        <v>694</v>
      </c>
      <c r="B7" s="644">
        <v>20393</v>
      </c>
      <c r="C7" s="645" t="s">
        <v>680</v>
      </c>
      <c r="D7" s="644"/>
      <c r="E7" s="644">
        <v>20393</v>
      </c>
      <c r="F7" s="62"/>
    </row>
    <row r="8" spans="1:6" ht="15.95" customHeight="1" x14ac:dyDescent="0.2">
      <c r="A8" s="643" t="s">
        <v>695</v>
      </c>
      <c r="B8" s="644">
        <v>21986</v>
      </c>
      <c r="C8" s="645" t="s">
        <v>680</v>
      </c>
      <c r="D8" s="644"/>
      <c r="E8" s="644">
        <v>21986</v>
      </c>
      <c r="F8" s="62"/>
    </row>
    <row r="9" spans="1:6" ht="15.95" customHeight="1" x14ac:dyDescent="0.2">
      <c r="A9" s="643" t="s">
        <v>652</v>
      </c>
      <c r="B9" s="644">
        <v>3000</v>
      </c>
      <c r="C9" s="645" t="s">
        <v>680</v>
      </c>
      <c r="D9" s="644"/>
      <c r="E9" s="644">
        <v>3000</v>
      </c>
      <c r="F9" s="62"/>
    </row>
    <row r="10" spans="1:6" ht="15.95" customHeight="1" x14ac:dyDescent="0.2">
      <c r="A10" s="643" t="s">
        <v>653</v>
      </c>
      <c r="B10" s="644">
        <v>3500</v>
      </c>
      <c r="C10" s="645" t="s">
        <v>680</v>
      </c>
      <c r="D10" s="644"/>
      <c r="E10" s="644">
        <v>3500</v>
      </c>
      <c r="F10" s="62"/>
    </row>
    <row r="11" spans="1:6" ht="15.95" customHeight="1" x14ac:dyDescent="0.2">
      <c r="A11" s="643" t="s">
        <v>657</v>
      </c>
      <c r="B11" s="644">
        <v>3500</v>
      </c>
      <c r="C11" s="645" t="s">
        <v>680</v>
      </c>
      <c r="D11" s="644"/>
      <c r="E11" s="644">
        <v>3500</v>
      </c>
      <c r="F11" s="62"/>
    </row>
    <row r="12" spans="1:6" ht="15.95" customHeight="1" x14ac:dyDescent="0.2">
      <c r="A12" s="643" t="s">
        <v>654</v>
      </c>
      <c r="B12" s="644">
        <v>2000</v>
      </c>
      <c r="C12" s="645" t="s">
        <v>680</v>
      </c>
      <c r="D12" s="644"/>
      <c r="E12" s="644">
        <v>2000</v>
      </c>
      <c r="F12" s="62"/>
    </row>
    <row r="13" spans="1:6" ht="15.95" customHeight="1" x14ac:dyDescent="0.2">
      <c r="A13" s="643" t="s">
        <v>655</v>
      </c>
      <c r="B13" s="644">
        <v>3000</v>
      </c>
      <c r="C13" s="645" t="s">
        <v>680</v>
      </c>
      <c r="D13" s="644"/>
      <c r="E13" s="644">
        <v>3000</v>
      </c>
      <c r="F13" s="62"/>
    </row>
    <row r="14" spans="1:6" ht="15.95" customHeight="1" x14ac:dyDescent="0.2">
      <c r="A14" s="643" t="s">
        <v>656</v>
      </c>
      <c r="B14" s="644">
        <v>3400</v>
      </c>
      <c r="C14" s="645" t="s">
        <v>680</v>
      </c>
      <c r="D14" s="644"/>
      <c r="E14" s="644">
        <v>3400</v>
      </c>
      <c r="F14" s="62"/>
    </row>
    <row r="15" spans="1:6" ht="15.95" customHeight="1" x14ac:dyDescent="0.2">
      <c r="A15" s="643" t="s">
        <v>696</v>
      </c>
      <c r="B15" s="644">
        <v>25</v>
      </c>
      <c r="C15" s="645" t="s">
        <v>680</v>
      </c>
      <c r="D15" s="644"/>
      <c r="E15" s="644">
        <v>25</v>
      </c>
      <c r="F15" s="62"/>
    </row>
    <row r="16" spans="1:6" ht="15.95" customHeight="1" x14ac:dyDescent="0.2">
      <c r="A16" s="643" t="s">
        <v>697</v>
      </c>
      <c r="B16" s="644">
        <v>300</v>
      </c>
      <c r="C16" s="645" t="s">
        <v>680</v>
      </c>
      <c r="D16" s="644"/>
      <c r="E16" s="644">
        <v>300</v>
      </c>
      <c r="F16" s="62"/>
    </row>
    <row r="17" spans="1:6" ht="15.95" customHeight="1" x14ac:dyDescent="0.2">
      <c r="A17" s="643" t="s">
        <v>698</v>
      </c>
      <c r="B17" s="644">
        <v>650</v>
      </c>
      <c r="C17" s="645" t="s">
        <v>680</v>
      </c>
      <c r="D17" s="644"/>
      <c r="E17" s="644">
        <v>650</v>
      </c>
      <c r="F17" s="62"/>
    </row>
    <row r="18" spans="1:6" ht="15.95" customHeight="1" x14ac:dyDescent="0.2">
      <c r="A18" s="643" t="s">
        <v>699</v>
      </c>
      <c r="B18" s="644">
        <v>1000</v>
      </c>
      <c r="C18" s="645" t="s">
        <v>680</v>
      </c>
      <c r="D18" s="644"/>
      <c r="E18" s="644">
        <v>1000</v>
      </c>
      <c r="F18" s="62"/>
    </row>
    <row r="19" spans="1:6" ht="15.95" customHeight="1" x14ac:dyDescent="0.2">
      <c r="A19" s="643" t="s">
        <v>700</v>
      </c>
      <c r="B19" s="644">
        <v>240</v>
      </c>
      <c r="C19" s="645" t="s">
        <v>680</v>
      </c>
      <c r="D19" s="644"/>
      <c r="E19" s="644">
        <v>240</v>
      </c>
      <c r="F19" s="62"/>
    </row>
    <row r="20" spans="1:6" ht="15.95" customHeight="1" x14ac:dyDescent="0.2">
      <c r="A20" s="643" t="s">
        <v>701</v>
      </c>
      <c r="B20" s="644">
        <v>209</v>
      </c>
      <c r="C20" s="645" t="s">
        <v>680</v>
      </c>
      <c r="D20" s="644"/>
      <c r="E20" s="644">
        <v>209</v>
      </c>
      <c r="F20" s="62"/>
    </row>
    <row r="21" spans="1:6" ht="15.95" customHeight="1" x14ac:dyDescent="0.2">
      <c r="A21" s="643" t="s">
        <v>702</v>
      </c>
      <c r="B21" s="644">
        <v>279</v>
      </c>
      <c r="C21" s="645" t="s">
        <v>680</v>
      </c>
      <c r="D21" s="644"/>
      <c r="E21" s="644">
        <v>279</v>
      </c>
      <c r="F21" s="62"/>
    </row>
    <row r="22" spans="1:6" ht="15.95" customHeight="1" x14ac:dyDescent="0.2">
      <c r="A22" s="643" t="s">
        <v>703</v>
      </c>
      <c r="B22" s="644">
        <v>254</v>
      </c>
      <c r="C22" s="645" t="s">
        <v>680</v>
      </c>
      <c r="D22" s="644"/>
      <c r="E22" s="644">
        <v>254</v>
      </c>
      <c r="F22" s="62"/>
    </row>
    <row r="23" spans="1:6" ht="15.95" customHeight="1" x14ac:dyDescent="0.2">
      <c r="A23" s="643" t="s">
        <v>704</v>
      </c>
      <c r="B23" s="644">
        <v>120</v>
      </c>
      <c r="C23" s="645" t="s">
        <v>680</v>
      </c>
      <c r="D23" s="644"/>
      <c r="E23" s="644">
        <v>120</v>
      </c>
      <c r="F23" s="62"/>
    </row>
    <row r="24" spans="1:6" ht="15.95" customHeight="1" x14ac:dyDescent="0.2">
      <c r="A24" s="643" t="s">
        <v>705</v>
      </c>
      <c r="B24" s="644">
        <v>3500</v>
      </c>
      <c r="C24" s="645" t="s">
        <v>680</v>
      </c>
      <c r="D24" s="644"/>
      <c r="E24" s="644">
        <v>3500</v>
      </c>
      <c r="F24" s="62"/>
    </row>
    <row r="25" spans="1:6" ht="15.95" customHeight="1" x14ac:dyDescent="0.2">
      <c r="A25" s="643" t="s">
        <v>706</v>
      </c>
      <c r="B25" s="644">
        <v>3600</v>
      </c>
      <c r="C25" s="645" t="s">
        <v>680</v>
      </c>
      <c r="D25" s="644"/>
      <c r="E25" s="644">
        <v>3600</v>
      </c>
      <c r="F25" s="62"/>
    </row>
    <row r="26" spans="1:6" ht="15.95" customHeight="1" x14ac:dyDescent="0.2">
      <c r="A26" s="643" t="s">
        <v>709</v>
      </c>
      <c r="B26" s="644">
        <v>150</v>
      </c>
      <c r="C26" s="645" t="s">
        <v>680</v>
      </c>
      <c r="D26" s="644"/>
      <c r="E26" s="644">
        <v>150</v>
      </c>
      <c r="F26" s="62"/>
    </row>
    <row r="27" spans="1:6" ht="15.95" customHeight="1" x14ac:dyDescent="0.2">
      <c r="A27" s="643" t="s">
        <v>708</v>
      </c>
      <c r="B27" s="644">
        <v>100</v>
      </c>
      <c r="C27" s="645" t="s">
        <v>680</v>
      </c>
      <c r="D27" s="644"/>
      <c r="E27" s="644">
        <v>100</v>
      </c>
      <c r="F27" s="62"/>
    </row>
    <row r="28" spans="1:6" ht="15.95" customHeight="1" x14ac:dyDescent="0.2">
      <c r="A28" s="643" t="s">
        <v>707</v>
      </c>
      <c r="B28" s="644">
        <v>900</v>
      </c>
      <c r="C28" s="645" t="s">
        <v>680</v>
      </c>
      <c r="D28" s="644"/>
      <c r="E28" s="644">
        <v>900</v>
      </c>
      <c r="F28" s="62"/>
    </row>
    <row r="29" spans="1:6" ht="15.95" customHeight="1" x14ac:dyDescent="0.2">
      <c r="A29" s="643" t="s">
        <v>710</v>
      </c>
      <c r="B29" s="644">
        <v>5750</v>
      </c>
      <c r="C29" s="645" t="s">
        <v>680</v>
      </c>
      <c r="D29" s="644"/>
      <c r="E29" s="644">
        <v>5750</v>
      </c>
      <c r="F29" s="62"/>
    </row>
    <row r="30" spans="1:6" ht="24.75" customHeight="1" x14ac:dyDescent="0.2">
      <c r="A30" s="661" t="s">
        <v>631</v>
      </c>
      <c r="B30" s="28">
        <v>10000</v>
      </c>
      <c r="C30" s="517" t="s">
        <v>680</v>
      </c>
      <c r="D30" s="28"/>
      <c r="E30" s="28">
        <v>10000</v>
      </c>
      <c r="F30" s="62">
        <f t="shared" ref="F30:F41" si="0">B30-D30-E30</f>
        <v>0</v>
      </c>
    </row>
    <row r="31" spans="1:6" ht="15.95" customHeight="1" x14ac:dyDescent="0.2">
      <c r="A31" s="661" t="s">
        <v>718</v>
      </c>
      <c r="B31" s="28">
        <v>148845</v>
      </c>
      <c r="C31" s="517" t="s">
        <v>680</v>
      </c>
      <c r="D31" s="28"/>
      <c r="E31" s="28">
        <v>148845</v>
      </c>
      <c r="F31" s="62">
        <f t="shared" si="0"/>
        <v>0</v>
      </c>
    </row>
    <row r="32" spans="1:6" ht="15.95" customHeight="1" x14ac:dyDescent="0.2">
      <c r="A32" s="661" t="s">
        <v>719</v>
      </c>
      <c r="B32" s="28">
        <v>88841</v>
      </c>
      <c r="C32" s="517" t="s">
        <v>680</v>
      </c>
      <c r="D32" s="28"/>
      <c r="E32" s="28">
        <v>88841</v>
      </c>
      <c r="F32" s="62">
        <f t="shared" si="0"/>
        <v>0</v>
      </c>
    </row>
    <row r="33" spans="1:6" ht="15.95" customHeight="1" x14ac:dyDescent="0.2">
      <c r="A33" s="661" t="s">
        <v>720</v>
      </c>
      <c r="B33" s="28">
        <f>3520+1500</f>
        <v>5020</v>
      </c>
      <c r="C33" s="517" t="s">
        <v>680</v>
      </c>
      <c r="D33" s="28"/>
      <c r="E33" s="28">
        <v>5020</v>
      </c>
      <c r="F33" s="62">
        <f t="shared" si="0"/>
        <v>0</v>
      </c>
    </row>
    <row r="34" spans="1:6" ht="15.95" customHeight="1" x14ac:dyDescent="0.2">
      <c r="A34" s="661" t="s">
        <v>721</v>
      </c>
      <c r="B34" s="28">
        <v>82728</v>
      </c>
      <c r="C34" s="517" t="s">
        <v>680</v>
      </c>
      <c r="D34" s="28"/>
      <c r="E34" s="28">
        <v>82728</v>
      </c>
      <c r="F34" s="62">
        <f t="shared" si="0"/>
        <v>0</v>
      </c>
    </row>
    <row r="35" spans="1:6" ht="15.95" customHeight="1" x14ac:dyDescent="0.2">
      <c r="A35" s="661" t="s">
        <v>722</v>
      </c>
      <c r="B35" s="28">
        <v>2311</v>
      </c>
      <c r="C35" s="517" t="s">
        <v>680</v>
      </c>
      <c r="D35" s="28"/>
      <c r="E35" s="28">
        <v>2311</v>
      </c>
      <c r="F35" s="62">
        <f t="shared" si="0"/>
        <v>0</v>
      </c>
    </row>
    <row r="36" spans="1:6" ht="15.95" customHeight="1" x14ac:dyDescent="0.2">
      <c r="A36" s="661" t="s">
        <v>723</v>
      </c>
      <c r="B36" s="28">
        <v>48198</v>
      </c>
      <c r="C36" s="517" t="s">
        <v>680</v>
      </c>
      <c r="D36" s="28"/>
      <c r="E36" s="28">
        <v>48198</v>
      </c>
      <c r="F36" s="62">
        <f t="shared" si="0"/>
        <v>0</v>
      </c>
    </row>
    <row r="37" spans="1:6" ht="15.95" customHeight="1" x14ac:dyDescent="0.2">
      <c r="A37" s="661" t="s">
        <v>724</v>
      </c>
      <c r="B37" s="28">
        <v>230928</v>
      </c>
      <c r="C37" s="517" t="s">
        <v>680</v>
      </c>
      <c r="D37" s="28"/>
      <c r="E37" s="28">
        <v>230928</v>
      </c>
      <c r="F37" s="62">
        <f t="shared" si="0"/>
        <v>0</v>
      </c>
    </row>
    <row r="38" spans="1:6" ht="15.95" customHeight="1" x14ac:dyDescent="0.2">
      <c r="A38" s="661" t="s">
        <v>725</v>
      </c>
      <c r="B38" s="28">
        <v>66072</v>
      </c>
      <c r="C38" s="517" t="s">
        <v>680</v>
      </c>
      <c r="D38" s="28"/>
      <c r="E38" s="28">
        <v>66072</v>
      </c>
      <c r="F38" s="62">
        <f t="shared" si="0"/>
        <v>0</v>
      </c>
    </row>
    <row r="39" spans="1:6" ht="15.95" customHeight="1" x14ac:dyDescent="0.2">
      <c r="A39" s="604" t="s">
        <v>726</v>
      </c>
      <c r="B39" s="28">
        <v>75884</v>
      </c>
      <c r="C39" s="517" t="s">
        <v>680</v>
      </c>
      <c r="D39" s="28"/>
      <c r="E39" s="28">
        <v>75884</v>
      </c>
      <c r="F39" s="62">
        <f t="shared" si="0"/>
        <v>0</v>
      </c>
    </row>
    <row r="40" spans="1:6" ht="15.95" customHeight="1" x14ac:dyDescent="0.2">
      <c r="A40" s="516" t="s">
        <v>742</v>
      </c>
      <c r="B40" s="28">
        <v>360</v>
      </c>
      <c r="C40" s="517" t="s">
        <v>680</v>
      </c>
      <c r="D40" s="28"/>
      <c r="E40" s="28">
        <v>360</v>
      </c>
      <c r="F40" s="62">
        <f t="shared" si="0"/>
        <v>0</v>
      </c>
    </row>
    <row r="41" spans="1:6" ht="15.95" customHeight="1" thickBot="1" x14ac:dyDescent="0.25">
      <c r="A41" s="63"/>
      <c r="B41" s="29"/>
      <c r="C41" s="518"/>
      <c r="D41" s="29"/>
      <c r="E41" s="29"/>
      <c r="F41" s="64">
        <f t="shared" si="0"/>
        <v>0</v>
      </c>
    </row>
    <row r="42" spans="1:6" s="67" customFormat="1" ht="18" customHeight="1" thickBot="1" x14ac:dyDescent="0.25">
      <c r="A42" s="218" t="s">
        <v>64</v>
      </c>
      <c r="B42" s="65">
        <f>+B5+B6+B30+B31+B36+B37+B38+B39+B40+B32+B33+B34+B35</f>
        <v>840491</v>
      </c>
      <c r="C42" s="144"/>
      <c r="D42" s="65">
        <f>SUM(D5:D41)</f>
        <v>0</v>
      </c>
      <c r="E42" s="65">
        <f>+E5+E6+E30+E31+E36+E37+E38+E39+E40+E32+E33+E34+E35</f>
        <v>840491</v>
      </c>
      <c r="F42" s="66">
        <f>SUM(F5:F41)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4/2018. (II. 20.)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E16" sqref="E16"/>
    </sheetView>
  </sheetViews>
  <sheetFormatPr defaultRowHeight="12.75" x14ac:dyDescent="0.2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 x14ac:dyDescent="0.2">
      <c r="A1" s="691" t="s">
        <v>1</v>
      </c>
      <c r="B1" s="691"/>
      <c r="C1" s="691"/>
      <c r="D1" s="691"/>
      <c r="E1" s="691"/>
      <c r="F1" s="691"/>
    </row>
    <row r="2" spans="1:6" ht="23.25" customHeight="1" thickBot="1" x14ac:dyDescent="0.3">
      <c r="A2" s="215"/>
      <c r="B2" s="61"/>
      <c r="C2" s="61"/>
      <c r="D2" s="61"/>
      <c r="E2" s="61"/>
      <c r="F2" s="57" t="s">
        <v>61</v>
      </c>
    </row>
    <row r="3" spans="1:6" s="50" customFormat="1" ht="48.75" customHeight="1" thickBot="1" x14ac:dyDescent="0.25">
      <c r="A3" s="216" t="s">
        <v>68</v>
      </c>
      <c r="B3" s="217" t="s">
        <v>66</v>
      </c>
      <c r="C3" s="217" t="s">
        <v>67</v>
      </c>
      <c r="D3" s="217" t="str">
        <f>+'6.sz.mell.'!D3</f>
        <v>Felhasználás   2017. XII. 31-ig</v>
      </c>
      <c r="E3" s="217" t="str">
        <f>+'6.sz.mell.'!E3</f>
        <v>2018. évi előirányzat</v>
      </c>
      <c r="F3" s="567" t="str">
        <f>+CONCATENATE(LEFT(ÖSSZEFÜGGÉSEK!A5,4),". utáni szükséglet ",CHAR(10),"")</f>
        <v xml:space="preserve">2018. utáni szükséglet 
</v>
      </c>
    </row>
    <row r="4" spans="1:6" s="61" customFormat="1" ht="15" customHeight="1" thickBot="1" x14ac:dyDescent="0.25">
      <c r="A4" s="59" t="s">
        <v>495</v>
      </c>
      <c r="B4" s="60" t="s">
        <v>496</v>
      </c>
      <c r="C4" s="60" t="s">
        <v>497</v>
      </c>
      <c r="D4" s="60" t="s">
        <v>499</v>
      </c>
      <c r="E4" s="60" t="s">
        <v>498</v>
      </c>
      <c r="F4" s="570" t="s">
        <v>565</v>
      </c>
    </row>
    <row r="5" spans="1:6" ht="15.95" customHeight="1" x14ac:dyDescent="0.2">
      <c r="A5" s="68" t="s">
        <v>716</v>
      </c>
      <c r="B5" s="69">
        <v>21018</v>
      </c>
      <c r="C5" s="519" t="s">
        <v>717</v>
      </c>
      <c r="D5" s="69">
        <v>10509</v>
      </c>
      <c r="E5" s="69">
        <v>10509</v>
      </c>
      <c r="F5" s="70">
        <f t="shared" ref="F5:F11" si="0">B5-D5-E5</f>
        <v>0</v>
      </c>
    </row>
    <row r="6" spans="1:6" ht="15.95" customHeight="1" x14ac:dyDescent="0.2">
      <c r="A6" s="68"/>
      <c r="B6" s="69"/>
      <c r="C6" s="519"/>
      <c r="D6" s="69"/>
      <c r="E6" s="69"/>
      <c r="F6" s="70">
        <f t="shared" si="0"/>
        <v>0</v>
      </c>
    </row>
    <row r="7" spans="1:6" ht="15.95" customHeight="1" x14ac:dyDescent="0.2">
      <c r="A7" s="68"/>
      <c r="B7" s="69"/>
      <c r="C7" s="519"/>
      <c r="D7" s="69"/>
      <c r="E7" s="69"/>
      <c r="F7" s="70">
        <f t="shared" si="0"/>
        <v>0</v>
      </c>
    </row>
    <row r="8" spans="1:6" ht="15.95" customHeight="1" x14ac:dyDescent="0.2">
      <c r="A8" s="68"/>
      <c r="B8" s="69"/>
      <c r="C8" s="519"/>
      <c r="D8" s="69"/>
      <c r="E8" s="69"/>
      <c r="F8" s="70">
        <f t="shared" si="0"/>
        <v>0</v>
      </c>
    </row>
    <row r="9" spans="1:6" ht="15.95" customHeight="1" x14ac:dyDescent="0.2">
      <c r="A9" s="68"/>
      <c r="B9" s="69"/>
      <c r="C9" s="519"/>
      <c r="D9" s="69"/>
      <c r="E9" s="69"/>
      <c r="F9" s="70">
        <f t="shared" si="0"/>
        <v>0</v>
      </c>
    </row>
    <row r="10" spans="1:6" ht="15.95" customHeight="1" x14ac:dyDescent="0.2">
      <c r="A10" s="68"/>
      <c r="B10" s="69"/>
      <c r="C10" s="519"/>
      <c r="D10" s="69"/>
      <c r="E10" s="69"/>
      <c r="F10" s="70">
        <f t="shared" si="0"/>
        <v>0</v>
      </c>
    </row>
    <row r="11" spans="1:6" ht="15.95" customHeight="1" thickBot="1" x14ac:dyDescent="0.25">
      <c r="A11" s="71"/>
      <c r="B11" s="72"/>
      <c r="C11" s="520"/>
      <c r="D11" s="72"/>
      <c r="E11" s="72"/>
      <c r="F11" s="73">
        <f t="shared" si="0"/>
        <v>0</v>
      </c>
    </row>
    <row r="12" spans="1:6" s="67" customFormat="1" ht="18" customHeight="1" thickBot="1" x14ac:dyDescent="0.25">
      <c r="A12" s="218" t="s">
        <v>64</v>
      </c>
      <c r="B12" s="219">
        <f>SUM(B5:B11)</f>
        <v>21018</v>
      </c>
      <c r="C12" s="145"/>
      <c r="D12" s="219">
        <f>SUM(D5:D11)</f>
        <v>10509</v>
      </c>
      <c r="E12" s="219">
        <f>SUM(E5:E11)</f>
        <v>10509</v>
      </c>
      <c r="F12" s="74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4/2018. (II. 20.)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9"/>
  <sheetViews>
    <sheetView view="pageLayout" topLeftCell="A40" zoomScaleNormal="100" workbookViewId="0">
      <selection activeCell="C10" sqref="C10"/>
    </sheetView>
  </sheetViews>
  <sheetFormatPr defaultRowHeight="12.75" x14ac:dyDescent="0.2"/>
  <cols>
    <col min="1" max="1" width="38.6640625" style="52" customWidth="1"/>
    <col min="2" max="5" width="13.83203125" style="52" customWidth="1"/>
    <col min="6" max="16384" width="9.33203125" style="52"/>
  </cols>
  <sheetData>
    <row r="1" spans="1:5" x14ac:dyDescent="0.2">
      <c r="A1" s="240"/>
      <c r="B1" s="240"/>
      <c r="C1" s="240"/>
      <c r="D1" s="240"/>
      <c r="E1" s="240"/>
    </row>
    <row r="2" spans="1:5" ht="30.75" customHeight="1" x14ac:dyDescent="0.2">
      <c r="A2" s="652" t="s">
        <v>140</v>
      </c>
      <c r="B2" s="692" t="s">
        <v>743</v>
      </c>
      <c r="C2" s="692"/>
      <c r="D2" s="692"/>
      <c r="E2" s="692"/>
    </row>
    <row r="3" spans="1:5" ht="14.25" thickBot="1" x14ac:dyDescent="0.3">
      <c r="A3" s="240"/>
      <c r="B3" s="240"/>
      <c r="C3" s="240"/>
      <c r="D3" s="693" t="s">
        <v>133</v>
      </c>
      <c r="E3" s="693"/>
    </row>
    <row r="4" spans="1:5" ht="15" customHeight="1" thickBot="1" x14ac:dyDescent="0.25">
      <c r="A4" s="241" t="s">
        <v>132</v>
      </c>
      <c r="B4" s="242">
        <v>2018</v>
      </c>
      <c r="C4" s="242">
        <v>2019</v>
      </c>
      <c r="D4" s="242" t="s">
        <v>744</v>
      </c>
      <c r="E4" s="243" t="s">
        <v>51</v>
      </c>
    </row>
    <row r="5" spans="1:5" x14ac:dyDescent="0.2">
      <c r="A5" s="244" t="s">
        <v>134</v>
      </c>
      <c r="B5" s="107">
        <f>+B12-B7</f>
        <v>1544</v>
      </c>
      <c r="C5" s="107"/>
      <c r="D5" s="107"/>
      <c r="E5" s="245">
        <f t="shared" ref="E5:E11" si="0">SUM(B5:D5)</f>
        <v>1544</v>
      </c>
    </row>
    <row r="6" spans="1:5" x14ac:dyDescent="0.2">
      <c r="A6" s="246" t="s">
        <v>146</v>
      </c>
      <c r="B6" s="108"/>
      <c r="C6" s="108"/>
      <c r="D6" s="108"/>
      <c r="E6" s="247">
        <f t="shared" si="0"/>
        <v>0</v>
      </c>
    </row>
    <row r="7" spans="1:5" x14ac:dyDescent="0.2">
      <c r="A7" s="248" t="s">
        <v>135</v>
      </c>
      <c r="B7" s="109">
        <v>96282</v>
      </c>
      <c r="C7" s="109"/>
      <c r="D7" s="109"/>
      <c r="E7" s="249">
        <f t="shared" si="0"/>
        <v>96282</v>
      </c>
    </row>
    <row r="8" spans="1:5" x14ac:dyDescent="0.2">
      <c r="A8" s="248" t="s">
        <v>147</v>
      </c>
      <c r="B8" s="109"/>
      <c r="C8" s="109"/>
      <c r="D8" s="109"/>
      <c r="E8" s="249">
        <f t="shared" si="0"/>
        <v>0</v>
      </c>
    </row>
    <row r="9" spans="1:5" x14ac:dyDescent="0.2">
      <c r="A9" s="248" t="s">
        <v>136</v>
      </c>
      <c r="B9" s="109"/>
      <c r="C9" s="109"/>
      <c r="D9" s="109"/>
      <c r="E9" s="249">
        <f t="shared" si="0"/>
        <v>0</v>
      </c>
    </row>
    <row r="10" spans="1:5" x14ac:dyDescent="0.2">
      <c r="A10" s="248" t="s">
        <v>137</v>
      </c>
      <c r="B10" s="109"/>
      <c r="C10" s="109"/>
      <c r="D10" s="109"/>
      <c r="E10" s="249">
        <f t="shared" si="0"/>
        <v>0</v>
      </c>
    </row>
    <row r="11" spans="1:5" ht="13.5" thickBot="1" x14ac:dyDescent="0.25">
      <c r="A11" s="110"/>
      <c r="B11" s="111"/>
      <c r="C11" s="111"/>
      <c r="D11" s="111"/>
      <c r="E11" s="249">
        <f t="shared" si="0"/>
        <v>0</v>
      </c>
    </row>
    <row r="12" spans="1:5" ht="13.5" thickBot="1" x14ac:dyDescent="0.25">
      <c r="A12" s="250" t="s">
        <v>139</v>
      </c>
      <c r="B12" s="251">
        <f>+B22</f>
        <v>97826</v>
      </c>
      <c r="C12" s="251">
        <f>C5+SUM(C7:C11)</f>
        <v>0</v>
      </c>
      <c r="D12" s="251">
        <f>D5+SUM(D7:D11)</f>
        <v>0</v>
      </c>
      <c r="E12" s="252">
        <f>E5+SUM(E7:E11)</f>
        <v>97826</v>
      </c>
    </row>
    <row r="13" spans="1:5" ht="13.5" thickBot="1" x14ac:dyDescent="0.25">
      <c r="A13" s="56"/>
      <c r="B13" s="56"/>
      <c r="C13" s="56"/>
      <c r="D13" s="56"/>
      <c r="E13" s="56"/>
    </row>
    <row r="14" spans="1:5" ht="15" customHeight="1" thickBot="1" x14ac:dyDescent="0.25">
      <c r="A14" s="241" t="s">
        <v>138</v>
      </c>
      <c r="B14" s="242">
        <f>+B4</f>
        <v>2018</v>
      </c>
      <c r="C14" s="242">
        <f>+C4</f>
        <v>2019</v>
      </c>
      <c r="D14" s="242" t="str">
        <f>+D4</f>
        <v>2019 után</v>
      </c>
      <c r="E14" s="243" t="s">
        <v>51</v>
      </c>
    </row>
    <row r="15" spans="1:5" x14ac:dyDescent="0.2">
      <c r="A15" s="244" t="s">
        <v>142</v>
      </c>
      <c r="B15" s="107">
        <v>2614</v>
      </c>
      <c r="C15" s="107"/>
      <c r="D15" s="107"/>
      <c r="E15" s="245">
        <f t="shared" ref="E15:E21" si="1">SUM(B15:D15)</f>
        <v>2614</v>
      </c>
    </row>
    <row r="16" spans="1:5" x14ac:dyDescent="0.2">
      <c r="A16" s="253" t="s">
        <v>143</v>
      </c>
      <c r="B16" s="109">
        <v>88841</v>
      </c>
      <c r="C16" s="109"/>
      <c r="D16" s="109"/>
      <c r="E16" s="249">
        <f t="shared" si="1"/>
        <v>88841</v>
      </c>
    </row>
    <row r="17" spans="1:5" x14ac:dyDescent="0.2">
      <c r="A17" s="248" t="s">
        <v>144</v>
      </c>
      <c r="B17" s="109">
        <v>6371</v>
      </c>
      <c r="C17" s="109"/>
      <c r="D17" s="109"/>
      <c r="E17" s="249">
        <f t="shared" si="1"/>
        <v>6371</v>
      </c>
    </row>
    <row r="18" spans="1:5" x14ac:dyDescent="0.2">
      <c r="A18" s="248" t="s">
        <v>145</v>
      </c>
      <c r="B18" s="109"/>
      <c r="C18" s="109"/>
      <c r="D18" s="109"/>
      <c r="E18" s="249">
        <f t="shared" si="1"/>
        <v>0</v>
      </c>
    </row>
    <row r="19" spans="1:5" x14ac:dyDescent="0.2">
      <c r="A19" s="112"/>
      <c r="B19" s="109"/>
      <c r="C19" s="109"/>
      <c r="D19" s="109"/>
      <c r="E19" s="249">
        <f t="shared" si="1"/>
        <v>0</v>
      </c>
    </row>
    <row r="20" spans="1:5" x14ac:dyDescent="0.2">
      <c r="A20" s="112"/>
      <c r="B20" s="109"/>
      <c r="C20" s="109"/>
      <c r="D20" s="109"/>
      <c r="E20" s="249">
        <f t="shared" si="1"/>
        <v>0</v>
      </c>
    </row>
    <row r="21" spans="1:5" ht="13.5" thickBot="1" x14ac:dyDescent="0.25">
      <c r="A21" s="110"/>
      <c r="B21" s="111"/>
      <c r="C21" s="111"/>
      <c r="D21" s="111"/>
      <c r="E21" s="249">
        <f t="shared" si="1"/>
        <v>0</v>
      </c>
    </row>
    <row r="22" spans="1:5" ht="13.5" thickBot="1" x14ac:dyDescent="0.25">
      <c r="A22" s="250" t="s">
        <v>53</v>
      </c>
      <c r="B22" s="251">
        <f>SUM(B15:B21)</f>
        <v>97826</v>
      </c>
      <c r="C22" s="251">
        <f>SUM(C15:C21)</f>
        <v>0</v>
      </c>
      <c r="D22" s="251">
        <f>SUM(D15:D21)</f>
        <v>0</v>
      </c>
      <c r="E22" s="252">
        <f>SUM(E15:E21)</f>
        <v>97826</v>
      </c>
    </row>
    <row r="23" spans="1:5" x14ac:dyDescent="0.2">
      <c r="A23" s="240"/>
      <c r="B23" s="240"/>
      <c r="C23" s="240"/>
      <c r="D23" s="240"/>
      <c r="E23" s="240"/>
    </row>
    <row r="24" spans="1:5" x14ac:dyDescent="0.2">
      <c r="A24" s="240"/>
      <c r="B24" s="240"/>
      <c r="C24" s="240"/>
      <c r="D24" s="240"/>
      <c r="E24" s="240"/>
    </row>
    <row r="25" spans="1:5" ht="30" customHeight="1" x14ac:dyDescent="0.2">
      <c r="A25" s="668" t="s">
        <v>140</v>
      </c>
      <c r="B25" s="692" t="s">
        <v>745</v>
      </c>
      <c r="C25" s="692"/>
      <c r="D25" s="692"/>
      <c r="E25" s="692"/>
    </row>
    <row r="26" spans="1:5" ht="14.25" thickBot="1" x14ac:dyDescent="0.3">
      <c r="A26" s="240"/>
      <c r="B26" s="240"/>
      <c r="C26" s="240"/>
      <c r="D26" s="694" t="s">
        <v>133</v>
      </c>
      <c r="E26" s="694"/>
    </row>
    <row r="27" spans="1:5" ht="13.5" thickBot="1" x14ac:dyDescent="0.25">
      <c r="A27" s="241" t="s">
        <v>132</v>
      </c>
      <c r="B27" s="242">
        <f>+B14</f>
        <v>2018</v>
      </c>
      <c r="C27" s="242">
        <f>+C14</f>
        <v>2019</v>
      </c>
      <c r="D27" s="242" t="str">
        <f>+D14</f>
        <v>2019 után</v>
      </c>
      <c r="E27" s="243" t="s">
        <v>51</v>
      </c>
    </row>
    <row r="28" spans="1:5" x14ac:dyDescent="0.2">
      <c r="A28" s="244" t="s">
        <v>134</v>
      </c>
      <c r="B28" s="107"/>
      <c r="C28" s="107"/>
      <c r="D28" s="107"/>
      <c r="E28" s="245">
        <f t="shared" ref="E28:E34" si="2">SUM(B28:D28)</f>
        <v>0</v>
      </c>
    </row>
    <row r="29" spans="1:5" x14ac:dyDescent="0.2">
      <c r="A29" s="246" t="s">
        <v>146</v>
      </c>
      <c r="B29" s="108"/>
      <c r="C29" s="108"/>
      <c r="D29" s="108"/>
      <c r="E29" s="247">
        <f t="shared" si="2"/>
        <v>0</v>
      </c>
    </row>
    <row r="30" spans="1:5" x14ac:dyDescent="0.2">
      <c r="A30" s="248" t="s">
        <v>135</v>
      </c>
      <c r="B30" s="109">
        <f>+B35-B28</f>
        <v>49195</v>
      </c>
      <c r="C30" s="109"/>
      <c r="D30" s="109"/>
      <c r="E30" s="249">
        <f t="shared" si="2"/>
        <v>49195</v>
      </c>
    </row>
    <row r="31" spans="1:5" x14ac:dyDescent="0.2">
      <c r="A31" s="248" t="s">
        <v>147</v>
      </c>
      <c r="B31" s="109"/>
      <c r="C31" s="109"/>
      <c r="D31" s="109"/>
      <c r="E31" s="249">
        <f t="shared" si="2"/>
        <v>0</v>
      </c>
    </row>
    <row r="32" spans="1:5" x14ac:dyDescent="0.2">
      <c r="A32" s="248" t="s">
        <v>136</v>
      </c>
      <c r="B32" s="109"/>
      <c r="C32" s="109"/>
      <c r="D32" s="109"/>
      <c r="E32" s="249">
        <f t="shared" si="2"/>
        <v>0</v>
      </c>
    </row>
    <row r="33" spans="1:5" x14ac:dyDescent="0.2">
      <c r="A33" s="248" t="s">
        <v>137</v>
      </c>
      <c r="B33" s="109"/>
      <c r="C33" s="109"/>
      <c r="D33" s="109"/>
      <c r="E33" s="249">
        <f t="shared" si="2"/>
        <v>0</v>
      </c>
    </row>
    <row r="34" spans="1:5" ht="13.5" thickBot="1" x14ac:dyDescent="0.25">
      <c r="A34" s="110"/>
      <c r="B34" s="111"/>
      <c r="C34" s="111"/>
      <c r="D34" s="111"/>
      <c r="E34" s="249">
        <f t="shared" si="2"/>
        <v>0</v>
      </c>
    </row>
    <row r="35" spans="1:5" ht="13.5" thickBot="1" x14ac:dyDescent="0.25">
      <c r="A35" s="250" t="s">
        <v>139</v>
      </c>
      <c r="B35" s="251">
        <f>+B45</f>
        <v>49195</v>
      </c>
      <c r="C35" s="251">
        <f>C28+SUM(C30:C34)</f>
        <v>0</v>
      </c>
      <c r="D35" s="251">
        <f>D28+SUM(D30:D34)</f>
        <v>0</v>
      </c>
      <c r="E35" s="252">
        <f>E28+SUM(E30:E34)</f>
        <v>49195</v>
      </c>
    </row>
    <row r="36" spans="1:5" ht="13.5" thickBot="1" x14ac:dyDescent="0.25">
      <c r="A36" s="56"/>
      <c r="B36" s="56"/>
      <c r="C36" s="56"/>
      <c r="D36" s="56"/>
      <c r="E36" s="56"/>
    </row>
    <row r="37" spans="1:5" ht="13.5" thickBot="1" x14ac:dyDescent="0.25">
      <c r="A37" s="241" t="s">
        <v>138</v>
      </c>
      <c r="B37" s="242">
        <f>+B27</f>
        <v>2018</v>
      </c>
      <c r="C37" s="242">
        <f>+C27</f>
        <v>2019</v>
      </c>
      <c r="D37" s="242" t="str">
        <f>+D27</f>
        <v>2019 után</v>
      </c>
      <c r="E37" s="243" t="s">
        <v>51</v>
      </c>
    </row>
    <row r="38" spans="1:5" x14ac:dyDescent="0.2">
      <c r="A38" s="244" t="s">
        <v>142</v>
      </c>
      <c r="B38" s="107"/>
      <c r="C38" s="107"/>
      <c r="D38" s="107"/>
      <c r="E38" s="245">
        <f t="shared" ref="E38:E44" si="3">SUM(B38:D38)</f>
        <v>0</v>
      </c>
    </row>
    <row r="39" spans="1:5" x14ac:dyDescent="0.2">
      <c r="A39" s="253" t="s">
        <v>143</v>
      </c>
      <c r="B39" s="109">
        <v>48199</v>
      </c>
      <c r="C39" s="109"/>
      <c r="D39" s="109"/>
      <c r="E39" s="249">
        <f t="shared" si="3"/>
        <v>48199</v>
      </c>
    </row>
    <row r="40" spans="1:5" x14ac:dyDescent="0.2">
      <c r="A40" s="248" t="s">
        <v>144</v>
      </c>
      <c r="B40" s="109">
        <v>996</v>
      </c>
      <c r="C40" s="109"/>
      <c r="D40" s="109"/>
      <c r="E40" s="249">
        <f t="shared" si="3"/>
        <v>996</v>
      </c>
    </row>
    <row r="41" spans="1:5" x14ac:dyDescent="0.2">
      <c r="A41" s="248" t="s">
        <v>145</v>
      </c>
      <c r="B41" s="109"/>
      <c r="C41" s="109"/>
      <c r="D41" s="109"/>
      <c r="E41" s="249">
        <f t="shared" si="3"/>
        <v>0</v>
      </c>
    </row>
    <row r="42" spans="1:5" x14ac:dyDescent="0.2">
      <c r="A42" s="112"/>
      <c r="B42" s="109"/>
      <c r="C42" s="109"/>
      <c r="D42" s="109"/>
      <c r="E42" s="249">
        <f t="shared" si="3"/>
        <v>0</v>
      </c>
    </row>
    <row r="43" spans="1:5" x14ac:dyDescent="0.2">
      <c r="A43" s="112"/>
      <c r="B43" s="109"/>
      <c r="C43" s="109"/>
      <c r="D43" s="109"/>
      <c r="E43" s="249">
        <f t="shared" si="3"/>
        <v>0</v>
      </c>
    </row>
    <row r="44" spans="1:5" ht="13.5" thickBot="1" x14ac:dyDescent="0.25">
      <c r="A44" s="110"/>
      <c r="B44" s="111"/>
      <c r="C44" s="111"/>
      <c r="D44" s="111"/>
      <c r="E44" s="249">
        <f t="shared" si="3"/>
        <v>0</v>
      </c>
    </row>
    <row r="45" spans="1:5" ht="13.5" thickBot="1" x14ac:dyDescent="0.25">
      <c r="A45" s="250" t="s">
        <v>53</v>
      </c>
      <c r="B45" s="251">
        <f>SUM(B38:B44)</f>
        <v>49195</v>
      </c>
      <c r="C45" s="251">
        <f>SUM(C38:C44)</f>
        <v>0</v>
      </c>
      <c r="D45" s="251">
        <f>SUM(D38:D44)</f>
        <v>0</v>
      </c>
      <c r="E45" s="252">
        <f>SUM(E38:E44)</f>
        <v>49195</v>
      </c>
    </row>
    <row r="46" spans="1:5" x14ac:dyDescent="0.2">
      <c r="A46" s="666"/>
      <c r="B46" s="667"/>
      <c r="C46" s="667"/>
      <c r="D46" s="667"/>
      <c r="E46" s="667"/>
    </row>
    <row r="47" spans="1:5" x14ac:dyDescent="0.2">
      <c r="A47" s="666"/>
      <c r="B47" s="667"/>
      <c r="C47" s="667"/>
      <c r="D47" s="667"/>
      <c r="E47" s="667"/>
    </row>
    <row r="48" spans="1:5" ht="33.75" customHeight="1" x14ac:dyDescent="0.2">
      <c r="A48" s="668" t="s">
        <v>140</v>
      </c>
      <c r="B48" s="692" t="s">
        <v>746</v>
      </c>
      <c r="C48" s="692"/>
      <c r="D48" s="692"/>
      <c r="E48" s="692"/>
    </row>
    <row r="49" spans="1:8" ht="14.25" thickBot="1" x14ac:dyDescent="0.3">
      <c r="A49" s="240"/>
      <c r="B49" s="240"/>
      <c r="C49" s="240"/>
      <c r="D49" s="694" t="s">
        <v>133</v>
      </c>
      <c r="E49" s="694"/>
      <c r="H49" s="53"/>
    </row>
    <row r="50" spans="1:8" ht="13.5" thickBot="1" x14ac:dyDescent="0.25">
      <c r="A50" s="241" t="s">
        <v>132</v>
      </c>
      <c r="B50" s="242">
        <f>+B37</f>
        <v>2018</v>
      </c>
      <c r="C50" s="242">
        <f>+C37</f>
        <v>2019</v>
      </c>
      <c r="D50" s="242" t="str">
        <f>+D37</f>
        <v>2019 után</v>
      </c>
      <c r="E50" s="243" t="s">
        <v>51</v>
      </c>
    </row>
    <row r="51" spans="1:8" x14ac:dyDescent="0.2">
      <c r="A51" s="244" t="s">
        <v>134</v>
      </c>
      <c r="B51" s="107">
        <f>+B58-B53</f>
        <v>1870</v>
      </c>
      <c r="C51" s="107"/>
      <c r="D51" s="107"/>
      <c r="E51" s="245">
        <f t="shared" ref="E51:E57" si="4">SUM(B51:D51)</f>
        <v>1870</v>
      </c>
    </row>
    <row r="52" spans="1:8" x14ac:dyDescent="0.2">
      <c r="A52" s="246" t="s">
        <v>146</v>
      </c>
      <c r="B52" s="108"/>
      <c r="C52" s="108"/>
      <c r="D52" s="108"/>
      <c r="E52" s="247">
        <f t="shared" si="4"/>
        <v>0</v>
      </c>
    </row>
    <row r="53" spans="1:8" x14ac:dyDescent="0.2">
      <c r="A53" s="248" t="s">
        <v>135</v>
      </c>
      <c r="B53" s="109">
        <v>7000</v>
      </c>
      <c r="C53" s="109"/>
      <c r="D53" s="109"/>
      <c r="E53" s="249">
        <f t="shared" si="4"/>
        <v>7000</v>
      </c>
    </row>
    <row r="54" spans="1:8" x14ac:dyDescent="0.2">
      <c r="A54" s="248" t="s">
        <v>147</v>
      </c>
      <c r="B54" s="109"/>
      <c r="C54" s="109"/>
      <c r="D54" s="109"/>
      <c r="E54" s="249">
        <f t="shared" si="4"/>
        <v>0</v>
      </c>
    </row>
    <row r="55" spans="1:8" x14ac:dyDescent="0.2">
      <c r="A55" s="248" t="s">
        <v>136</v>
      </c>
      <c r="B55" s="109"/>
      <c r="C55" s="109"/>
      <c r="D55" s="109"/>
      <c r="E55" s="249">
        <f t="shared" si="4"/>
        <v>0</v>
      </c>
    </row>
    <row r="56" spans="1:8" x14ac:dyDescent="0.2">
      <c r="A56" s="248" t="s">
        <v>137</v>
      </c>
      <c r="B56" s="109"/>
      <c r="C56" s="109"/>
      <c r="D56" s="109"/>
      <c r="E56" s="249">
        <f t="shared" si="4"/>
        <v>0</v>
      </c>
    </row>
    <row r="57" spans="1:8" ht="13.5" thickBot="1" x14ac:dyDescent="0.25">
      <c r="A57" s="110"/>
      <c r="B57" s="111"/>
      <c r="C57" s="111"/>
      <c r="D57" s="111"/>
      <c r="E57" s="249">
        <f t="shared" si="4"/>
        <v>0</v>
      </c>
    </row>
    <row r="58" spans="1:8" ht="13.5" thickBot="1" x14ac:dyDescent="0.25">
      <c r="A58" s="250" t="s">
        <v>139</v>
      </c>
      <c r="B58" s="251">
        <f>+B68</f>
        <v>8870</v>
      </c>
      <c r="C58" s="251">
        <f>C51+SUM(C53:C57)</f>
        <v>0</v>
      </c>
      <c r="D58" s="251">
        <f>D51+SUM(D53:D57)</f>
        <v>0</v>
      </c>
      <c r="E58" s="252">
        <f>E51+SUM(E53:E57)</f>
        <v>8870</v>
      </c>
    </row>
    <row r="59" spans="1:8" ht="13.5" thickBot="1" x14ac:dyDescent="0.25">
      <c r="A59" s="56"/>
      <c r="B59" s="56"/>
      <c r="C59" s="56"/>
      <c r="D59" s="56"/>
      <c r="E59" s="56"/>
    </row>
    <row r="60" spans="1:8" ht="13.5" thickBot="1" x14ac:dyDescent="0.25">
      <c r="A60" s="241" t="s">
        <v>138</v>
      </c>
      <c r="B60" s="242">
        <f>+B50</f>
        <v>2018</v>
      </c>
      <c r="C60" s="242">
        <f>+C50</f>
        <v>2019</v>
      </c>
      <c r="D60" s="242" t="str">
        <f>+D50</f>
        <v>2019 után</v>
      </c>
      <c r="E60" s="243" t="s">
        <v>51</v>
      </c>
    </row>
    <row r="61" spans="1:8" x14ac:dyDescent="0.2">
      <c r="A61" s="244" t="s">
        <v>142</v>
      </c>
      <c r="B61" s="107">
        <f>146+29</f>
        <v>175</v>
      </c>
      <c r="C61" s="107"/>
      <c r="D61" s="107"/>
      <c r="E61" s="245">
        <f t="shared" ref="E61:E67" si="5">SUM(B61:D61)</f>
        <v>175</v>
      </c>
    </row>
    <row r="62" spans="1:8" x14ac:dyDescent="0.2">
      <c r="A62" s="253" t="s">
        <v>143</v>
      </c>
      <c r="B62" s="109">
        <v>5020</v>
      </c>
      <c r="C62" s="109"/>
      <c r="D62" s="109"/>
      <c r="E62" s="249">
        <f t="shared" si="5"/>
        <v>5020</v>
      </c>
    </row>
    <row r="63" spans="1:8" x14ac:dyDescent="0.2">
      <c r="A63" s="248" t="s">
        <v>144</v>
      </c>
      <c r="B63" s="109">
        <v>3465</v>
      </c>
      <c r="C63" s="109"/>
      <c r="D63" s="109"/>
      <c r="E63" s="249">
        <f t="shared" si="5"/>
        <v>3465</v>
      </c>
    </row>
    <row r="64" spans="1:8" x14ac:dyDescent="0.2">
      <c r="A64" s="248" t="s">
        <v>145</v>
      </c>
      <c r="B64" s="109">
        <v>210</v>
      </c>
      <c r="C64" s="109"/>
      <c r="D64" s="109"/>
      <c r="E64" s="249">
        <f t="shared" si="5"/>
        <v>210</v>
      </c>
    </row>
    <row r="65" spans="1:5" x14ac:dyDescent="0.2">
      <c r="A65" s="112"/>
      <c r="B65" s="109"/>
      <c r="C65" s="109"/>
      <c r="D65" s="109"/>
      <c r="E65" s="249">
        <f t="shared" si="5"/>
        <v>0</v>
      </c>
    </row>
    <row r="66" spans="1:5" x14ac:dyDescent="0.2">
      <c r="A66" s="112"/>
      <c r="B66" s="109"/>
      <c r="C66" s="109"/>
      <c r="D66" s="109"/>
      <c r="E66" s="249">
        <f t="shared" si="5"/>
        <v>0</v>
      </c>
    </row>
    <row r="67" spans="1:5" ht="13.5" thickBot="1" x14ac:dyDescent="0.25">
      <c r="A67" s="110"/>
      <c r="B67" s="111"/>
      <c r="C67" s="111"/>
      <c r="D67" s="111"/>
      <c r="E67" s="249">
        <f t="shared" si="5"/>
        <v>0</v>
      </c>
    </row>
    <row r="68" spans="1:5" ht="13.5" thickBot="1" x14ac:dyDescent="0.25">
      <c r="A68" s="250" t="s">
        <v>53</v>
      </c>
      <c r="B68" s="251">
        <f>SUM(B61:B67)</f>
        <v>8870</v>
      </c>
      <c r="C68" s="251">
        <f>SUM(C61:C67)</f>
        <v>0</v>
      </c>
      <c r="D68" s="251">
        <f>SUM(D61:D67)</f>
        <v>0</v>
      </c>
      <c r="E68" s="252">
        <f>SUM(E61:E67)</f>
        <v>8870</v>
      </c>
    </row>
    <row r="69" spans="1:5" x14ac:dyDescent="0.2">
      <c r="A69" s="666"/>
      <c r="B69" s="667"/>
      <c r="C69" s="667"/>
      <c r="D69" s="667"/>
      <c r="E69" s="667"/>
    </row>
    <row r="70" spans="1:5" x14ac:dyDescent="0.2">
      <c r="A70" s="666"/>
      <c r="B70" s="667"/>
      <c r="C70" s="667"/>
      <c r="D70" s="667"/>
      <c r="E70" s="667"/>
    </row>
    <row r="71" spans="1:5" ht="29.25" customHeight="1" x14ac:dyDescent="0.2">
      <c r="A71" s="668" t="s">
        <v>140</v>
      </c>
      <c r="B71" s="692" t="s">
        <v>747</v>
      </c>
      <c r="C71" s="692"/>
      <c r="D71" s="692"/>
      <c r="E71" s="692"/>
    </row>
    <row r="72" spans="1:5" ht="14.25" thickBot="1" x14ac:dyDescent="0.3">
      <c r="A72" s="240"/>
      <c r="B72" s="240"/>
      <c r="C72" s="240"/>
      <c r="D72" s="694" t="s">
        <v>133</v>
      </c>
      <c r="E72" s="694"/>
    </row>
    <row r="73" spans="1:5" ht="13.5" thickBot="1" x14ac:dyDescent="0.25">
      <c r="A73" s="241" t="s">
        <v>132</v>
      </c>
      <c r="B73" s="242">
        <f>+B60</f>
        <v>2018</v>
      </c>
      <c r="C73" s="242">
        <f>+C60</f>
        <v>2019</v>
      </c>
      <c r="D73" s="242" t="str">
        <f>+D60</f>
        <v>2019 után</v>
      </c>
      <c r="E73" s="243" t="s">
        <v>51</v>
      </c>
    </row>
    <row r="74" spans="1:5" x14ac:dyDescent="0.2">
      <c r="A74" s="244" t="s">
        <v>134</v>
      </c>
      <c r="B74" s="107"/>
      <c r="C74" s="107"/>
      <c r="D74" s="107"/>
      <c r="E74" s="245">
        <f t="shared" ref="E74:E80" si="6">SUM(B74:D74)</f>
        <v>0</v>
      </c>
    </row>
    <row r="75" spans="1:5" x14ac:dyDescent="0.2">
      <c r="A75" s="246" t="s">
        <v>146</v>
      </c>
      <c r="B75" s="108"/>
      <c r="C75" s="108"/>
      <c r="D75" s="108"/>
      <c r="E75" s="247">
        <f t="shared" si="6"/>
        <v>0</v>
      </c>
    </row>
    <row r="76" spans="1:5" x14ac:dyDescent="0.2">
      <c r="A76" s="248" t="s">
        <v>135</v>
      </c>
      <c r="B76" s="109">
        <v>244680</v>
      </c>
      <c r="C76" s="109"/>
      <c r="D76" s="109"/>
      <c r="E76" s="249">
        <f t="shared" si="6"/>
        <v>244680</v>
      </c>
    </row>
    <row r="77" spans="1:5" x14ac:dyDescent="0.2">
      <c r="A77" s="248" t="s">
        <v>147</v>
      </c>
      <c r="B77" s="109"/>
      <c r="C77" s="109"/>
      <c r="D77" s="109"/>
      <c r="E77" s="249">
        <f t="shared" si="6"/>
        <v>0</v>
      </c>
    </row>
    <row r="78" spans="1:5" x14ac:dyDescent="0.2">
      <c r="A78" s="248" t="s">
        <v>136</v>
      </c>
      <c r="B78" s="109"/>
      <c r="C78" s="109"/>
      <c r="D78" s="109"/>
      <c r="E78" s="249">
        <f t="shared" si="6"/>
        <v>0</v>
      </c>
    </row>
    <row r="79" spans="1:5" x14ac:dyDescent="0.2">
      <c r="A79" s="248" t="s">
        <v>137</v>
      </c>
      <c r="B79" s="109"/>
      <c r="C79" s="109"/>
      <c r="D79" s="109"/>
      <c r="E79" s="249">
        <f t="shared" si="6"/>
        <v>0</v>
      </c>
    </row>
    <row r="80" spans="1:5" ht="13.5" thickBot="1" x14ac:dyDescent="0.25">
      <c r="A80" s="110"/>
      <c r="B80" s="111"/>
      <c r="C80" s="111"/>
      <c r="D80" s="111"/>
      <c r="E80" s="249">
        <f t="shared" si="6"/>
        <v>0</v>
      </c>
    </row>
    <row r="81" spans="1:5" ht="13.5" thickBot="1" x14ac:dyDescent="0.25">
      <c r="A81" s="250" t="s">
        <v>139</v>
      </c>
      <c r="B81" s="251">
        <f>B74+SUM(B76:B80)</f>
        <v>244680</v>
      </c>
      <c r="C81" s="251">
        <f>C74+SUM(C76:C80)</f>
        <v>0</v>
      </c>
      <c r="D81" s="251">
        <f>D74+SUM(D76:D80)</f>
        <v>0</v>
      </c>
      <c r="E81" s="252">
        <f>E74+SUM(E76:E80)</f>
        <v>244680</v>
      </c>
    </row>
    <row r="82" spans="1:5" ht="13.5" thickBot="1" x14ac:dyDescent="0.25">
      <c r="A82" s="56"/>
      <c r="B82" s="56"/>
      <c r="C82" s="56"/>
      <c r="D82" s="56"/>
      <c r="E82" s="56"/>
    </row>
    <row r="83" spans="1:5" ht="13.5" thickBot="1" x14ac:dyDescent="0.25">
      <c r="A83" s="241" t="s">
        <v>138</v>
      </c>
      <c r="B83" s="242">
        <f>+B73</f>
        <v>2018</v>
      </c>
      <c r="C83" s="242">
        <f>+C73</f>
        <v>2019</v>
      </c>
      <c r="D83" s="242" t="str">
        <f>+D73</f>
        <v>2019 után</v>
      </c>
      <c r="E83" s="243" t="s">
        <v>51</v>
      </c>
    </row>
    <row r="84" spans="1:5" x14ac:dyDescent="0.2">
      <c r="A84" s="244" t="s">
        <v>142</v>
      </c>
      <c r="B84" s="107"/>
      <c r="C84" s="107"/>
      <c r="D84" s="107"/>
      <c r="E84" s="245">
        <f t="shared" ref="E84:E90" si="7">SUM(B84:D84)</f>
        <v>0</v>
      </c>
    </row>
    <row r="85" spans="1:5" x14ac:dyDescent="0.2">
      <c r="A85" s="253" t="s">
        <v>143</v>
      </c>
      <c r="B85" s="109">
        <v>231928</v>
      </c>
      <c r="C85" s="109"/>
      <c r="D85" s="109"/>
      <c r="E85" s="249">
        <f t="shared" si="7"/>
        <v>231928</v>
      </c>
    </row>
    <row r="86" spans="1:5" x14ac:dyDescent="0.2">
      <c r="A86" s="248" t="s">
        <v>144</v>
      </c>
      <c r="B86" s="109">
        <v>12752</v>
      </c>
      <c r="C86" s="109"/>
      <c r="D86" s="109"/>
      <c r="E86" s="249">
        <f t="shared" si="7"/>
        <v>12752</v>
      </c>
    </row>
    <row r="87" spans="1:5" x14ac:dyDescent="0.2">
      <c r="A87" s="248" t="s">
        <v>145</v>
      </c>
      <c r="B87" s="109"/>
      <c r="C87" s="109"/>
      <c r="D87" s="109"/>
      <c r="E87" s="249">
        <f t="shared" si="7"/>
        <v>0</v>
      </c>
    </row>
    <row r="88" spans="1:5" x14ac:dyDescent="0.2">
      <c r="A88" s="112"/>
      <c r="B88" s="109"/>
      <c r="C88" s="109"/>
      <c r="D88" s="109"/>
      <c r="E88" s="249">
        <f t="shared" si="7"/>
        <v>0</v>
      </c>
    </row>
    <row r="89" spans="1:5" x14ac:dyDescent="0.2">
      <c r="A89" s="112"/>
      <c r="B89" s="109"/>
      <c r="C89" s="109"/>
      <c r="D89" s="109"/>
      <c r="E89" s="249">
        <f t="shared" si="7"/>
        <v>0</v>
      </c>
    </row>
    <row r="90" spans="1:5" ht="13.5" thickBot="1" x14ac:dyDescent="0.25">
      <c r="A90" s="110"/>
      <c r="B90" s="111"/>
      <c r="C90" s="111"/>
      <c r="D90" s="111"/>
      <c r="E90" s="249">
        <f t="shared" si="7"/>
        <v>0</v>
      </c>
    </row>
    <row r="91" spans="1:5" ht="13.5" thickBot="1" x14ac:dyDescent="0.25">
      <c r="A91" s="250" t="s">
        <v>53</v>
      </c>
      <c r="B91" s="251">
        <f>SUM(B84:B90)</f>
        <v>244680</v>
      </c>
      <c r="C91" s="251">
        <f>SUM(C84:C90)</f>
        <v>0</v>
      </c>
      <c r="D91" s="251">
        <f>SUM(D84:D90)</f>
        <v>0</v>
      </c>
      <c r="E91" s="252">
        <f>SUM(E84:E90)</f>
        <v>244680</v>
      </c>
    </row>
    <row r="92" spans="1:5" x14ac:dyDescent="0.2">
      <c r="A92" s="666"/>
      <c r="B92" s="667"/>
      <c r="C92" s="667"/>
      <c r="D92" s="667"/>
      <c r="E92" s="667"/>
    </row>
    <row r="93" spans="1:5" x14ac:dyDescent="0.2">
      <c r="A93" s="666"/>
      <c r="B93" s="667"/>
      <c r="C93" s="667"/>
      <c r="D93" s="667"/>
      <c r="E93" s="667"/>
    </row>
    <row r="94" spans="1:5" ht="28.5" customHeight="1" x14ac:dyDescent="0.2">
      <c r="A94" s="668" t="s">
        <v>140</v>
      </c>
      <c r="B94" s="692" t="s">
        <v>748</v>
      </c>
      <c r="C94" s="692"/>
      <c r="D94" s="692"/>
      <c r="E94" s="692"/>
    </row>
    <row r="95" spans="1:5" ht="14.25" thickBot="1" x14ac:dyDescent="0.3">
      <c r="A95" s="240"/>
      <c r="B95" s="240"/>
      <c r="C95" s="240"/>
      <c r="D95" s="694" t="s">
        <v>133</v>
      </c>
      <c r="E95" s="694"/>
    </row>
    <row r="96" spans="1:5" ht="13.5" thickBot="1" x14ac:dyDescent="0.25">
      <c r="A96" s="241" t="s">
        <v>132</v>
      </c>
      <c r="B96" s="242">
        <f>+B83</f>
        <v>2018</v>
      </c>
      <c r="C96" s="242">
        <f>+C83</f>
        <v>2019</v>
      </c>
      <c r="D96" s="242" t="str">
        <f>+D83</f>
        <v>2019 után</v>
      </c>
      <c r="E96" s="243" t="s">
        <v>51</v>
      </c>
    </row>
    <row r="97" spans="1:5" x14ac:dyDescent="0.2">
      <c r="A97" s="244" t="s">
        <v>134</v>
      </c>
      <c r="B97" s="107"/>
      <c r="C97" s="107"/>
      <c r="D97" s="107"/>
      <c r="E97" s="245">
        <f t="shared" ref="E97:E103" si="8">SUM(B97:D97)</f>
        <v>0</v>
      </c>
    </row>
    <row r="98" spans="1:5" x14ac:dyDescent="0.2">
      <c r="A98" s="246" t="s">
        <v>146</v>
      </c>
      <c r="B98" s="108"/>
      <c r="C98" s="108"/>
      <c r="D98" s="108"/>
      <c r="E98" s="247">
        <f t="shared" si="8"/>
        <v>0</v>
      </c>
    </row>
    <row r="99" spans="1:5" x14ac:dyDescent="0.2">
      <c r="A99" s="248" t="s">
        <v>135</v>
      </c>
      <c r="B99" s="109">
        <f>+B104-B97</f>
        <v>72141</v>
      </c>
      <c r="C99" s="109"/>
      <c r="D99" s="109"/>
      <c r="E99" s="249">
        <f t="shared" si="8"/>
        <v>72141</v>
      </c>
    </row>
    <row r="100" spans="1:5" x14ac:dyDescent="0.2">
      <c r="A100" s="248" t="s">
        <v>147</v>
      </c>
      <c r="B100" s="109"/>
      <c r="C100" s="109"/>
      <c r="D100" s="109"/>
      <c r="E100" s="249">
        <f t="shared" si="8"/>
        <v>0</v>
      </c>
    </row>
    <row r="101" spans="1:5" x14ac:dyDescent="0.2">
      <c r="A101" s="248" t="s">
        <v>136</v>
      </c>
      <c r="B101" s="109"/>
      <c r="C101" s="109"/>
      <c r="D101" s="109"/>
      <c r="E101" s="249">
        <f t="shared" si="8"/>
        <v>0</v>
      </c>
    </row>
    <row r="102" spans="1:5" x14ac:dyDescent="0.2">
      <c r="A102" s="248" t="s">
        <v>137</v>
      </c>
      <c r="B102" s="109"/>
      <c r="C102" s="109"/>
      <c r="D102" s="109"/>
      <c r="E102" s="249">
        <f t="shared" si="8"/>
        <v>0</v>
      </c>
    </row>
    <row r="103" spans="1:5" ht="13.5" thickBot="1" x14ac:dyDescent="0.25">
      <c r="A103" s="110"/>
      <c r="B103" s="111"/>
      <c r="C103" s="111"/>
      <c r="D103" s="111"/>
      <c r="E103" s="249">
        <f t="shared" si="8"/>
        <v>0</v>
      </c>
    </row>
    <row r="104" spans="1:5" ht="13.5" thickBot="1" x14ac:dyDescent="0.25">
      <c r="A104" s="250" t="s">
        <v>139</v>
      </c>
      <c r="B104" s="251">
        <f>+B114</f>
        <v>72141</v>
      </c>
      <c r="C104" s="251">
        <f>C97+SUM(C99:C103)</f>
        <v>0</v>
      </c>
      <c r="D104" s="251">
        <f>D97+SUM(D99:D103)</f>
        <v>0</v>
      </c>
      <c r="E104" s="252">
        <f>E97+SUM(E99:E103)</f>
        <v>72141</v>
      </c>
    </row>
    <row r="105" spans="1:5" ht="13.5" thickBot="1" x14ac:dyDescent="0.25">
      <c r="A105" s="56"/>
      <c r="B105" s="56"/>
      <c r="C105" s="56"/>
      <c r="D105" s="56"/>
      <c r="E105" s="56"/>
    </row>
    <row r="106" spans="1:5" ht="13.5" thickBot="1" x14ac:dyDescent="0.25">
      <c r="A106" s="241" t="s">
        <v>138</v>
      </c>
      <c r="B106" s="242">
        <f>+B96</f>
        <v>2018</v>
      </c>
      <c r="C106" s="242">
        <f>+C96</f>
        <v>2019</v>
      </c>
      <c r="D106" s="242" t="str">
        <f>+D96</f>
        <v>2019 után</v>
      </c>
      <c r="E106" s="243" t="s">
        <v>51</v>
      </c>
    </row>
    <row r="107" spans="1:5" x14ac:dyDescent="0.2">
      <c r="A107" s="244" t="s">
        <v>142</v>
      </c>
      <c r="B107" s="107"/>
      <c r="C107" s="107"/>
      <c r="D107" s="107"/>
      <c r="E107" s="245">
        <f t="shared" ref="E107:E113" si="9">SUM(B107:D107)</f>
        <v>0</v>
      </c>
    </row>
    <row r="108" spans="1:5" x14ac:dyDescent="0.2">
      <c r="A108" s="253" t="s">
        <v>143</v>
      </c>
      <c r="B108" s="109">
        <v>66073</v>
      </c>
      <c r="C108" s="109"/>
      <c r="D108" s="109"/>
      <c r="E108" s="249">
        <f t="shared" si="9"/>
        <v>66073</v>
      </c>
    </row>
    <row r="109" spans="1:5" x14ac:dyDescent="0.2">
      <c r="A109" s="248" t="s">
        <v>144</v>
      </c>
      <c r="B109" s="109">
        <v>6068</v>
      </c>
      <c r="C109" s="109"/>
      <c r="D109" s="109"/>
      <c r="E109" s="249">
        <f t="shared" si="9"/>
        <v>6068</v>
      </c>
    </row>
    <row r="110" spans="1:5" x14ac:dyDescent="0.2">
      <c r="A110" s="248" t="s">
        <v>145</v>
      </c>
      <c r="B110" s="109"/>
      <c r="C110" s="109"/>
      <c r="D110" s="109"/>
      <c r="E110" s="249">
        <f t="shared" si="9"/>
        <v>0</v>
      </c>
    </row>
    <row r="111" spans="1:5" x14ac:dyDescent="0.2">
      <c r="A111" s="112"/>
      <c r="B111" s="109"/>
      <c r="C111" s="109"/>
      <c r="D111" s="109"/>
      <c r="E111" s="249">
        <f t="shared" si="9"/>
        <v>0</v>
      </c>
    </row>
    <row r="112" spans="1:5" x14ac:dyDescent="0.2">
      <c r="A112" s="112"/>
      <c r="B112" s="109"/>
      <c r="C112" s="109"/>
      <c r="D112" s="109"/>
      <c r="E112" s="249">
        <f t="shared" si="9"/>
        <v>0</v>
      </c>
    </row>
    <row r="113" spans="1:5" ht="13.5" thickBot="1" x14ac:dyDescent="0.25">
      <c r="A113" s="110"/>
      <c r="B113" s="111"/>
      <c r="C113" s="111"/>
      <c r="D113" s="111"/>
      <c r="E113" s="249">
        <f t="shared" si="9"/>
        <v>0</v>
      </c>
    </row>
    <row r="114" spans="1:5" ht="13.5" thickBot="1" x14ac:dyDescent="0.25">
      <c r="A114" s="250" t="s">
        <v>53</v>
      </c>
      <c r="B114" s="251">
        <f>SUM(B107:B113)</f>
        <v>72141</v>
      </c>
      <c r="C114" s="251">
        <f>SUM(C107:C113)</f>
        <v>0</v>
      </c>
      <c r="D114" s="251">
        <f>SUM(D107:D113)</f>
        <v>0</v>
      </c>
      <c r="E114" s="252">
        <f>SUM(E107:E113)</f>
        <v>72141</v>
      </c>
    </row>
    <row r="115" spans="1:5" x14ac:dyDescent="0.2">
      <c r="A115" s="666"/>
      <c r="B115" s="667"/>
      <c r="C115" s="667"/>
      <c r="D115" s="667"/>
      <c r="E115" s="667"/>
    </row>
    <row r="116" spans="1:5" x14ac:dyDescent="0.2">
      <c r="A116" s="666"/>
      <c r="B116" s="667"/>
      <c r="C116" s="667"/>
      <c r="D116" s="667"/>
      <c r="E116" s="667"/>
    </row>
    <row r="117" spans="1:5" ht="29.25" customHeight="1" x14ac:dyDescent="0.2">
      <c r="A117" s="668" t="s">
        <v>140</v>
      </c>
      <c r="B117" s="692" t="s">
        <v>749</v>
      </c>
      <c r="C117" s="692"/>
      <c r="D117" s="692"/>
      <c r="E117" s="692"/>
    </row>
    <row r="118" spans="1:5" ht="14.25" thickBot="1" x14ac:dyDescent="0.3">
      <c r="A118" s="240"/>
      <c r="B118" s="240"/>
      <c r="C118" s="240"/>
      <c r="D118" s="694" t="s">
        <v>133</v>
      </c>
      <c r="E118" s="694"/>
    </row>
    <row r="119" spans="1:5" ht="13.5" thickBot="1" x14ac:dyDescent="0.25">
      <c r="A119" s="241" t="s">
        <v>132</v>
      </c>
      <c r="B119" s="242">
        <f>+B106</f>
        <v>2018</v>
      </c>
      <c r="C119" s="242">
        <f>+C106</f>
        <v>2019</v>
      </c>
      <c r="D119" s="242" t="str">
        <f>+D106</f>
        <v>2019 után</v>
      </c>
      <c r="E119" s="243" t="s">
        <v>51</v>
      </c>
    </row>
    <row r="120" spans="1:5" x14ac:dyDescent="0.2">
      <c r="A120" s="244" t="s">
        <v>134</v>
      </c>
      <c r="B120" s="107"/>
      <c r="C120" s="107"/>
      <c r="D120" s="107"/>
      <c r="E120" s="245">
        <f t="shared" ref="E120:E126" si="10">SUM(B120:D120)</f>
        <v>0</v>
      </c>
    </row>
    <row r="121" spans="1:5" x14ac:dyDescent="0.2">
      <c r="A121" s="246" t="s">
        <v>146</v>
      </c>
      <c r="B121" s="108"/>
      <c r="C121" s="108"/>
      <c r="D121" s="108"/>
      <c r="E121" s="247">
        <f t="shared" si="10"/>
        <v>0</v>
      </c>
    </row>
    <row r="122" spans="1:5" x14ac:dyDescent="0.2">
      <c r="A122" s="248" t="s">
        <v>135</v>
      </c>
      <c r="B122" s="109">
        <v>83999</v>
      </c>
      <c r="C122" s="109"/>
      <c r="D122" s="109"/>
      <c r="E122" s="249">
        <f t="shared" si="10"/>
        <v>83999</v>
      </c>
    </row>
    <row r="123" spans="1:5" x14ac:dyDescent="0.2">
      <c r="A123" s="248" t="s">
        <v>147</v>
      </c>
      <c r="B123" s="109"/>
      <c r="C123" s="109"/>
      <c r="D123" s="109"/>
      <c r="E123" s="249">
        <f t="shared" si="10"/>
        <v>0</v>
      </c>
    </row>
    <row r="124" spans="1:5" x14ac:dyDescent="0.2">
      <c r="A124" s="248" t="s">
        <v>136</v>
      </c>
      <c r="B124" s="109"/>
      <c r="C124" s="109"/>
      <c r="D124" s="109"/>
      <c r="E124" s="249">
        <f t="shared" si="10"/>
        <v>0</v>
      </c>
    </row>
    <row r="125" spans="1:5" x14ac:dyDescent="0.2">
      <c r="A125" s="248" t="s">
        <v>137</v>
      </c>
      <c r="B125" s="109"/>
      <c r="C125" s="109"/>
      <c r="D125" s="109"/>
      <c r="E125" s="249">
        <f t="shared" si="10"/>
        <v>0</v>
      </c>
    </row>
    <row r="126" spans="1:5" ht="13.5" thickBot="1" x14ac:dyDescent="0.25">
      <c r="A126" s="110"/>
      <c r="B126" s="111"/>
      <c r="C126" s="111"/>
      <c r="D126" s="111"/>
      <c r="E126" s="249">
        <f t="shared" si="10"/>
        <v>0</v>
      </c>
    </row>
    <row r="127" spans="1:5" ht="13.5" thickBot="1" x14ac:dyDescent="0.25">
      <c r="A127" s="250" t="s">
        <v>139</v>
      </c>
      <c r="B127" s="251">
        <f>B120+SUM(B122:B126)</f>
        <v>83999</v>
      </c>
      <c r="C127" s="251">
        <f>C120+SUM(C122:C126)</f>
        <v>0</v>
      </c>
      <c r="D127" s="251">
        <f>D120+SUM(D122:D126)</f>
        <v>0</v>
      </c>
      <c r="E127" s="252">
        <f>E120+SUM(E122:E126)</f>
        <v>83999</v>
      </c>
    </row>
    <row r="128" spans="1:5" ht="13.5" thickBot="1" x14ac:dyDescent="0.25">
      <c r="A128" s="56"/>
      <c r="B128" s="56"/>
      <c r="C128" s="56"/>
      <c r="D128" s="56"/>
      <c r="E128" s="56"/>
    </row>
    <row r="129" spans="1:5" ht="13.5" thickBot="1" x14ac:dyDescent="0.25">
      <c r="A129" s="241" t="s">
        <v>138</v>
      </c>
      <c r="B129" s="242">
        <f>+B119</f>
        <v>2018</v>
      </c>
      <c r="C129" s="242">
        <f>+C119</f>
        <v>2019</v>
      </c>
      <c r="D129" s="242" t="str">
        <f>+D119</f>
        <v>2019 után</v>
      </c>
      <c r="E129" s="243" t="s">
        <v>51</v>
      </c>
    </row>
    <row r="130" spans="1:5" x14ac:dyDescent="0.2">
      <c r="A130" s="244" t="s">
        <v>142</v>
      </c>
      <c r="B130" s="107"/>
      <c r="C130" s="107"/>
      <c r="D130" s="107"/>
      <c r="E130" s="245">
        <f t="shared" ref="E130:E136" si="11">SUM(B130:D130)</f>
        <v>0</v>
      </c>
    </row>
    <row r="131" spans="1:5" x14ac:dyDescent="0.2">
      <c r="A131" s="253" t="s">
        <v>143</v>
      </c>
      <c r="B131" s="109">
        <v>75884</v>
      </c>
      <c r="C131" s="109"/>
      <c r="D131" s="109"/>
      <c r="E131" s="249">
        <f t="shared" si="11"/>
        <v>75884</v>
      </c>
    </row>
    <row r="132" spans="1:5" x14ac:dyDescent="0.2">
      <c r="A132" s="248" t="s">
        <v>144</v>
      </c>
      <c r="B132" s="109">
        <v>8115</v>
      </c>
      <c r="C132" s="109"/>
      <c r="D132" s="109"/>
      <c r="E132" s="249">
        <f t="shared" si="11"/>
        <v>8115</v>
      </c>
    </row>
    <row r="133" spans="1:5" x14ac:dyDescent="0.2">
      <c r="A133" s="248" t="s">
        <v>145</v>
      </c>
      <c r="B133" s="109"/>
      <c r="C133" s="109"/>
      <c r="D133" s="109"/>
      <c r="E133" s="249">
        <f t="shared" si="11"/>
        <v>0</v>
      </c>
    </row>
    <row r="134" spans="1:5" x14ac:dyDescent="0.2">
      <c r="A134" s="112"/>
      <c r="B134" s="109"/>
      <c r="C134" s="109"/>
      <c r="D134" s="109"/>
      <c r="E134" s="249">
        <f t="shared" si="11"/>
        <v>0</v>
      </c>
    </row>
    <row r="135" spans="1:5" x14ac:dyDescent="0.2">
      <c r="A135" s="112"/>
      <c r="B135" s="109"/>
      <c r="C135" s="109"/>
      <c r="D135" s="109"/>
      <c r="E135" s="249">
        <f t="shared" si="11"/>
        <v>0</v>
      </c>
    </row>
    <row r="136" spans="1:5" ht="13.5" thickBot="1" x14ac:dyDescent="0.25">
      <c r="A136" s="110"/>
      <c r="B136" s="111"/>
      <c r="C136" s="111"/>
      <c r="D136" s="111"/>
      <c r="E136" s="249">
        <f t="shared" si="11"/>
        <v>0</v>
      </c>
    </row>
    <row r="137" spans="1:5" ht="13.5" thickBot="1" x14ac:dyDescent="0.25">
      <c r="A137" s="250" t="s">
        <v>53</v>
      </c>
      <c r="B137" s="251">
        <f>SUM(B130:B136)</f>
        <v>83999</v>
      </c>
      <c r="C137" s="251">
        <f>SUM(C130:C136)</f>
        <v>0</v>
      </c>
      <c r="D137" s="251">
        <f>SUM(D130:D136)</f>
        <v>0</v>
      </c>
      <c r="E137" s="252">
        <f>SUM(E130:E136)</f>
        <v>83999</v>
      </c>
    </row>
    <row r="138" spans="1:5" x14ac:dyDescent="0.2">
      <c r="A138" s="666"/>
      <c r="B138" s="667"/>
      <c r="C138" s="667"/>
      <c r="D138" s="667"/>
      <c r="E138" s="667"/>
    </row>
    <row r="139" spans="1:5" x14ac:dyDescent="0.2">
      <c r="A139" s="666"/>
      <c r="B139" s="667"/>
      <c r="C139" s="667"/>
      <c r="D139" s="667"/>
      <c r="E139" s="667"/>
    </row>
    <row r="140" spans="1:5" ht="32.25" customHeight="1" x14ac:dyDescent="0.2">
      <c r="A140" s="668" t="s">
        <v>140</v>
      </c>
      <c r="B140" s="692" t="s">
        <v>750</v>
      </c>
      <c r="C140" s="692"/>
      <c r="D140" s="692"/>
      <c r="E140" s="692"/>
    </row>
    <row r="141" spans="1:5" ht="14.25" thickBot="1" x14ac:dyDescent="0.3">
      <c r="A141" s="240"/>
      <c r="B141" s="240"/>
      <c r="C141" s="240"/>
      <c r="D141" s="694" t="s">
        <v>133</v>
      </c>
      <c r="E141" s="694"/>
    </row>
    <row r="142" spans="1:5" ht="13.5" thickBot="1" x14ac:dyDescent="0.25">
      <c r="A142" s="241" t="s">
        <v>132</v>
      </c>
      <c r="B142" s="242">
        <f>+B129</f>
        <v>2018</v>
      </c>
      <c r="C142" s="242">
        <f>+C129</f>
        <v>2019</v>
      </c>
      <c r="D142" s="242" t="str">
        <f>+D129</f>
        <v>2019 után</v>
      </c>
      <c r="E142" s="243" t="s">
        <v>51</v>
      </c>
    </row>
    <row r="143" spans="1:5" x14ac:dyDescent="0.2">
      <c r="A143" s="244" t="s">
        <v>134</v>
      </c>
      <c r="B143" s="107">
        <f>+B160-B145</f>
        <v>2750</v>
      </c>
      <c r="C143" s="107">
        <v>252</v>
      </c>
      <c r="D143" s="107"/>
      <c r="E143" s="245">
        <f t="shared" ref="E143:E149" si="12">SUM(B143:D143)</f>
        <v>3002</v>
      </c>
    </row>
    <row r="144" spans="1:5" x14ac:dyDescent="0.2">
      <c r="A144" s="246" t="s">
        <v>146</v>
      </c>
      <c r="B144" s="108"/>
      <c r="C144" s="108"/>
      <c r="D144" s="108"/>
      <c r="E144" s="247">
        <f t="shared" si="12"/>
        <v>0</v>
      </c>
    </row>
    <row r="145" spans="1:5" x14ac:dyDescent="0.2">
      <c r="A145" s="248" t="s">
        <v>135</v>
      </c>
      <c r="B145" s="109">
        <v>170052</v>
      </c>
      <c r="C145" s="109">
        <f>+C160-C143</f>
        <v>135867.44</v>
      </c>
      <c r="D145" s="109"/>
      <c r="E145" s="249">
        <f t="shared" si="12"/>
        <v>305919.44</v>
      </c>
    </row>
    <row r="146" spans="1:5" x14ac:dyDescent="0.2">
      <c r="A146" s="248" t="s">
        <v>147</v>
      </c>
      <c r="B146" s="109"/>
      <c r="C146" s="109"/>
      <c r="D146" s="109"/>
      <c r="E146" s="249">
        <f t="shared" si="12"/>
        <v>0</v>
      </c>
    </row>
    <row r="147" spans="1:5" x14ac:dyDescent="0.2">
      <c r="A147" s="248" t="s">
        <v>136</v>
      </c>
      <c r="B147" s="109"/>
      <c r="C147" s="109"/>
      <c r="D147" s="109"/>
      <c r="E147" s="249">
        <f t="shared" si="12"/>
        <v>0</v>
      </c>
    </row>
    <row r="148" spans="1:5" x14ac:dyDescent="0.2">
      <c r="A148" s="248" t="s">
        <v>137</v>
      </c>
      <c r="B148" s="109"/>
      <c r="C148" s="109"/>
      <c r="D148" s="109"/>
      <c r="E148" s="249">
        <f t="shared" si="12"/>
        <v>0</v>
      </c>
    </row>
    <row r="149" spans="1:5" ht="13.5" thickBot="1" x14ac:dyDescent="0.25">
      <c r="A149" s="110"/>
      <c r="B149" s="111"/>
      <c r="C149" s="111"/>
      <c r="D149" s="111"/>
      <c r="E149" s="249">
        <f t="shared" si="12"/>
        <v>0</v>
      </c>
    </row>
    <row r="150" spans="1:5" ht="13.5" thickBot="1" x14ac:dyDescent="0.25">
      <c r="A150" s="250" t="s">
        <v>139</v>
      </c>
      <c r="B150" s="251">
        <f>B143+SUM(B145:B149)</f>
        <v>172802</v>
      </c>
      <c r="C150" s="251">
        <f>C143+SUM(C145:C149)</f>
        <v>136119.44</v>
      </c>
      <c r="D150" s="251">
        <f>D143+SUM(D145:D149)</f>
        <v>0</v>
      </c>
      <c r="E150" s="252">
        <f>E143+SUM(E145:E149)</f>
        <v>308921.44</v>
      </c>
    </row>
    <row r="151" spans="1:5" ht="13.5" thickBot="1" x14ac:dyDescent="0.25">
      <c r="A151" s="56"/>
      <c r="B151" s="56"/>
      <c r="C151" s="56"/>
      <c r="D151" s="56"/>
      <c r="E151" s="56"/>
    </row>
    <row r="152" spans="1:5" ht="13.5" thickBot="1" x14ac:dyDescent="0.25">
      <c r="A152" s="241" t="s">
        <v>138</v>
      </c>
      <c r="B152" s="242">
        <f>+B142</f>
        <v>2018</v>
      </c>
      <c r="C152" s="242">
        <f>+C142</f>
        <v>2019</v>
      </c>
      <c r="D152" s="242" t="str">
        <f>+D142</f>
        <v>2019 után</v>
      </c>
      <c r="E152" s="243" t="s">
        <v>51</v>
      </c>
    </row>
    <row r="153" spans="1:5" x14ac:dyDescent="0.2">
      <c r="A153" s="244" t="s">
        <v>142</v>
      </c>
      <c r="B153" s="107">
        <v>4207</v>
      </c>
      <c r="C153" s="107">
        <v>3795</v>
      </c>
      <c r="D153" s="107"/>
      <c r="E153" s="245">
        <f t="shared" ref="E153:E159" si="13">SUM(B153:D153)</f>
        <v>8002</v>
      </c>
    </row>
    <row r="154" spans="1:5" x14ac:dyDescent="0.2">
      <c r="A154" s="253" t="s">
        <v>143</v>
      </c>
      <c r="B154" s="109">
        <v>157595</v>
      </c>
      <c r="C154" s="109">
        <f>(7118+95354)*1.27</f>
        <v>130139.44</v>
      </c>
      <c r="D154" s="109"/>
      <c r="E154" s="249">
        <f t="shared" si="13"/>
        <v>287734.44</v>
      </c>
    </row>
    <row r="155" spans="1:5" x14ac:dyDescent="0.2">
      <c r="A155" s="248" t="s">
        <v>144</v>
      </c>
      <c r="B155" s="109">
        <v>11000</v>
      </c>
      <c r="C155" s="109">
        <f>500*1.27+1550</f>
        <v>2185</v>
      </c>
      <c r="D155" s="109"/>
      <c r="E155" s="249">
        <f t="shared" si="13"/>
        <v>13185</v>
      </c>
    </row>
    <row r="156" spans="1:5" x14ac:dyDescent="0.2">
      <c r="A156" s="248" t="s">
        <v>145</v>
      </c>
      <c r="B156" s="109"/>
      <c r="C156" s="109"/>
      <c r="D156" s="109"/>
      <c r="E156" s="249">
        <f t="shared" si="13"/>
        <v>0</v>
      </c>
    </row>
    <row r="157" spans="1:5" x14ac:dyDescent="0.2">
      <c r="A157" s="112"/>
      <c r="B157" s="109"/>
      <c r="C157" s="109"/>
      <c r="D157" s="109"/>
      <c r="E157" s="249">
        <f t="shared" si="13"/>
        <v>0</v>
      </c>
    </row>
    <row r="158" spans="1:5" x14ac:dyDescent="0.2">
      <c r="A158" s="112"/>
      <c r="B158" s="109"/>
      <c r="C158" s="109"/>
      <c r="D158" s="109"/>
      <c r="E158" s="249">
        <f t="shared" si="13"/>
        <v>0</v>
      </c>
    </row>
    <row r="159" spans="1:5" ht="13.5" thickBot="1" x14ac:dyDescent="0.25">
      <c r="A159" s="110"/>
      <c r="B159" s="111"/>
      <c r="C159" s="111"/>
      <c r="D159" s="111"/>
      <c r="E159" s="249">
        <f t="shared" si="13"/>
        <v>0</v>
      </c>
    </row>
    <row r="160" spans="1:5" ht="13.5" thickBot="1" x14ac:dyDescent="0.25">
      <c r="A160" s="250" t="s">
        <v>53</v>
      </c>
      <c r="B160" s="251">
        <f>SUM(B153:B159)</f>
        <v>172802</v>
      </c>
      <c r="C160" s="251">
        <f>SUM(C153:C159)</f>
        <v>136119.44</v>
      </c>
      <c r="D160" s="251">
        <f>SUM(D153:D159)</f>
        <v>0</v>
      </c>
      <c r="E160" s="252">
        <f>SUM(E153:E159)</f>
        <v>308921.44</v>
      </c>
    </row>
    <row r="161" spans="1:5" x14ac:dyDescent="0.2">
      <c r="A161" s="666"/>
      <c r="B161" s="667"/>
      <c r="C161" s="667"/>
      <c r="D161" s="667"/>
      <c r="E161" s="667"/>
    </row>
    <row r="162" spans="1:5" x14ac:dyDescent="0.2">
      <c r="A162" s="666"/>
      <c r="B162" s="667"/>
      <c r="C162" s="667"/>
      <c r="D162" s="667"/>
      <c r="E162" s="667"/>
    </row>
    <row r="163" spans="1:5" ht="40.5" customHeight="1" x14ac:dyDescent="0.2">
      <c r="A163" s="668" t="s">
        <v>140</v>
      </c>
      <c r="B163" s="692" t="s">
        <v>751</v>
      </c>
      <c r="C163" s="692"/>
      <c r="D163" s="692"/>
      <c r="E163" s="692"/>
    </row>
    <row r="164" spans="1:5" ht="14.25" thickBot="1" x14ac:dyDescent="0.3">
      <c r="A164" s="240"/>
      <c r="B164" s="240"/>
      <c r="C164" s="240"/>
      <c r="D164" s="694" t="s">
        <v>133</v>
      </c>
      <c r="E164" s="694"/>
    </row>
    <row r="165" spans="1:5" ht="13.5" thickBot="1" x14ac:dyDescent="0.25">
      <c r="A165" s="241" t="s">
        <v>132</v>
      </c>
      <c r="B165" s="242">
        <f>+B152</f>
        <v>2018</v>
      </c>
      <c r="C165" s="242">
        <f>+C152</f>
        <v>2019</v>
      </c>
      <c r="D165" s="242" t="str">
        <f>+D152</f>
        <v>2019 után</v>
      </c>
      <c r="E165" s="243" t="s">
        <v>51</v>
      </c>
    </row>
    <row r="166" spans="1:5" x14ac:dyDescent="0.2">
      <c r="A166" s="244" t="s">
        <v>134</v>
      </c>
      <c r="B166" s="107"/>
      <c r="C166" s="107"/>
      <c r="D166" s="107">
        <v>49</v>
      </c>
      <c r="E166" s="245">
        <f t="shared" ref="E166:E172" si="14">SUM(B166:D166)</f>
        <v>49</v>
      </c>
    </row>
    <row r="167" spans="1:5" x14ac:dyDescent="0.2">
      <c r="A167" s="246" t="s">
        <v>146</v>
      </c>
      <c r="B167" s="108"/>
      <c r="C167" s="108"/>
      <c r="D167" s="108"/>
      <c r="E167" s="247">
        <f t="shared" si="14"/>
        <v>0</v>
      </c>
    </row>
    <row r="168" spans="1:5" x14ac:dyDescent="0.2">
      <c r="A168" s="248" t="s">
        <v>135</v>
      </c>
      <c r="B168" s="109">
        <f>+B183-B166</f>
        <v>6941</v>
      </c>
      <c r="C168" s="109">
        <f>+C183-C166</f>
        <v>6549</v>
      </c>
      <c r="D168" s="109">
        <f>+D183-D166</f>
        <v>6607.375</v>
      </c>
      <c r="E168" s="249">
        <f t="shared" si="14"/>
        <v>20097.375</v>
      </c>
    </row>
    <row r="169" spans="1:5" x14ac:dyDescent="0.2">
      <c r="A169" s="248" t="s">
        <v>147</v>
      </c>
      <c r="B169" s="109"/>
      <c r="C169" s="109"/>
      <c r="D169" s="109"/>
      <c r="E169" s="249">
        <f t="shared" si="14"/>
        <v>0</v>
      </c>
    </row>
    <row r="170" spans="1:5" x14ac:dyDescent="0.2">
      <c r="A170" s="248" t="s">
        <v>136</v>
      </c>
      <c r="B170" s="109"/>
      <c r="C170" s="109"/>
      <c r="D170" s="109"/>
      <c r="E170" s="249">
        <f t="shared" si="14"/>
        <v>0</v>
      </c>
    </row>
    <row r="171" spans="1:5" x14ac:dyDescent="0.2">
      <c r="A171" s="248" t="s">
        <v>137</v>
      </c>
      <c r="B171" s="109"/>
      <c r="C171" s="109"/>
      <c r="D171" s="109"/>
      <c r="E171" s="249">
        <f t="shared" si="14"/>
        <v>0</v>
      </c>
    </row>
    <row r="172" spans="1:5" ht="13.5" thickBot="1" x14ac:dyDescent="0.25">
      <c r="A172" s="110"/>
      <c r="B172" s="111"/>
      <c r="C172" s="111"/>
      <c r="D172" s="111"/>
      <c r="E172" s="249">
        <f t="shared" si="14"/>
        <v>0</v>
      </c>
    </row>
    <row r="173" spans="1:5" ht="13.5" thickBot="1" x14ac:dyDescent="0.25">
      <c r="A173" s="250" t="s">
        <v>139</v>
      </c>
      <c r="B173" s="251">
        <f>B166+SUM(B168:B172)</f>
        <v>6941</v>
      </c>
      <c r="C173" s="251">
        <f>C166+SUM(C168:C172)</f>
        <v>6549</v>
      </c>
      <c r="D173" s="251">
        <f>D166+SUM(D168:D172)</f>
        <v>6656.375</v>
      </c>
      <c r="E173" s="252">
        <f>E166+SUM(E168:E172)</f>
        <v>20146.375</v>
      </c>
    </row>
    <row r="174" spans="1:5" ht="13.5" thickBot="1" x14ac:dyDescent="0.25">
      <c r="A174" s="56"/>
      <c r="B174" s="56"/>
      <c r="C174" s="56"/>
      <c r="D174" s="56"/>
      <c r="E174" s="56"/>
    </row>
    <row r="175" spans="1:5" ht="13.5" thickBot="1" x14ac:dyDescent="0.25">
      <c r="A175" s="241" t="s">
        <v>138</v>
      </c>
      <c r="B175" s="242">
        <f>+B165</f>
        <v>2018</v>
      </c>
      <c r="C175" s="242">
        <f>+C165</f>
        <v>2019</v>
      </c>
      <c r="D175" s="242" t="str">
        <f>+D165</f>
        <v>2019 után</v>
      </c>
      <c r="E175" s="243" t="s">
        <v>51</v>
      </c>
    </row>
    <row r="176" spans="1:5" x14ac:dyDescent="0.2">
      <c r="A176" s="244" t="s">
        <v>142</v>
      </c>
      <c r="B176" s="107">
        <v>5900</v>
      </c>
      <c r="C176" s="107">
        <v>4631</v>
      </c>
      <c r="D176" s="107">
        <v>4631</v>
      </c>
      <c r="E176" s="245">
        <f t="shared" ref="E176:E182" si="15">SUM(B176:D176)</f>
        <v>15162</v>
      </c>
    </row>
    <row r="177" spans="1:5" x14ac:dyDescent="0.2">
      <c r="A177" s="253" t="s">
        <v>143</v>
      </c>
      <c r="B177" s="109"/>
      <c r="C177" s="109"/>
      <c r="D177" s="109"/>
      <c r="E177" s="249">
        <f t="shared" si="15"/>
        <v>0</v>
      </c>
    </row>
    <row r="178" spans="1:5" x14ac:dyDescent="0.2">
      <c r="A178" s="248" t="s">
        <v>144</v>
      </c>
      <c r="B178" s="109">
        <f>1041-B179</f>
        <v>718</v>
      </c>
      <c r="C178" s="109">
        <f>1059+200+268</f>
        <v>1527</v>
      </c>
      <c r="D178" s="109">
        <f>412.75/2+100+1060+268</f>
        <v>1634.375</v>
      </c>
      <c r="E178" s="249">
        <f t="shared" si="15"/>
        <v>3879.375</v>
      </c>
    </row>
    <row r="179" spans="1:5" x14ac:dyDescent="0.2">
      <c r="A179" s="248" t="s">
        <v>145</v>
      </c>
      <c r="B179" s="109">
        <v>323</v>
      </c>
      <c r="C179" s="109">
        <v>391</v>
      </c>
      <c r="D179" s="109">
        <v>391</v>
      </c>
      <c r="E179" s="249">
        <f t="shared" si="15"/>
        <v>1105</v>
      </c>
    </row>
    <row r="180" spans="1:5" x14ac:dyDescent="0.2">
      <c r="A180" s="112"/>
      <c r="B180" s="109"/>
      <c r="C180" s="109"/>
      <c r="D180" s="109"/>
      <c r="E180" s="249">
        <f t="shared" si="15"/>
        <v>0</v>
      </c>
    </row>
    <row r="181" spans="1:5" x14ac:dyDescent="0.2">
      <c r="A181" s="112"/>
      <c r="B181" s="109"/>
      <c r="C181" s="109"/>
      <c r="D181" s="109"/>
      <c r="E181" s="249">
        <f t="shared" si="15"/>
        <v>0</v>
      </c>
    </row>
    <row r="182" spans="1:5" ht="13.5" thickBot="1" x14ac:dyDescent="0.25">
      <c r="A182" s="110"/>
      <c r="B182" s="111"/>
      <c r="C182" s="111"/>
      <c r="D182" s="111"/>
      <c r="E182" s="249">
        <f t="shared" si="15"/>
        <v>0</v>
      </c>
    </row>
    <row r="183" spans="1:5" ht="13.5" thickBot="1" x14ac:dyDescent="0.25">
      <c r="A183" s="250" t="s">
        <v>53</v>
      </c>
      <c r="B183" s="251">
        <f>SUM(B176:B182)</f>
        <v>6941</v>
      </c>
      <c r="C183" s="251">
        <f>SUM(C176:C182)</f>
        <v>6549</v>
      </c>
      <c r="D183" s="251">
        <f>SUM(D176:D182)</f>
        <v>6656.375</v>
      </c>
      <c r="E183" s="252">
        <f>SUM(E176:E182)</f>
        <v>20146.375</v>
      </c>
    </row>
    <row r="184" spans="1:5" x14ac:dyDescent="0.2">
      <c r="A184" s="666"/>
      <c r="B184" s="667"/>
      <c r="C184" s="667"/>
      <c r="D184" s="667"/>
      <c r="E184" s="667"/>
    </row>
    <row r="185" spans="1:5" x14ac:dyDescent="0.2">
      <c r="A185" s="666"/>
      <c r="B185" s="667"/>
      <c r="C185" s="667"/>
      <c r="D185" s="667"/>
      <c r="E185" s="667"/>
    </row>
    <row r="186" spans="1:5" ht="42" customHeight="1" x14ac:dyDescent="0.2">
      <c r="A186" s="668" t="s">
        <v>140</v>
      </c>
      <c r="B186" s="692" t="s">
        <v>752</v>
      </c>
      <c r="C186" s="692"/>
      <c r="D186" s="692"/>
      <c r="E186" s="692"/>
    </row>
    <row r="187" spans="1:5" ht="14.25" thickBot="1" x14ac:dyDescent="0.3">
      <c r="A187" s="240"/>
      <c r="B187" s="240"/>
      <c r="C187" s="240"/>
      <c r="D187" s="694" t="s">
        <v>133</v>
      </c>
      <c r="E187" s="694"/>
    </row>
    <row r="188" spans="1:5" ht="13.5" thickBot="1" x14ac:dyDescent="0.25">
      <c r="A188" s="241" t="s">
        <v>132</v>
      </c>
      <c r="B188" s="242">
        <f>+B175</f>
        <v>2018</v>
      </c>
      <c r="C188" s="242">
        <f>+C175</f>
        <v>2019</v>
      </c>
      <c r="D188" s="242" t="str">
        <f>+D175</f>
        <v>2019 után</v>
      </c>
      <c r="E188" s="243" t="s">
        <v>51</v>
      </c>
    </row>
    <row r="189" spans="1:5" x14ac:dyDescent="0.2">
      <c r="A189" s="244" t="s">
        <v>134</v>
      </c>
      <c r="B189" s="107"/>
      <c r="C189" s="107"/>
      <c r="D189" s="107">
        <f>+E206-E191</f>
        <v>2465</v>
      </c>
      <c r="E189" s="245">
        <f t="shared" ref="E189:E195" si="16">SUM(B189:D189)</f>
        <v>2465</v>
      </c>
    </row>
    <row r="190" spans="1:5" x14ac:dyDescent="0.2">
      <c r="A190" s="246" t="s">
        <v>146</v>
      </c>
      <c r="B190" s="108"/>
      <c r="C190" s="108"/>
      <c r="D190" s="108"/>
      <c r="E190" s="247">
        <f t="shared" si="16"/>
        <v>0</v>
      </c>
    </row>
    <row r="191" spans="1:5" x14ac:dyDescent="0.2">
      <c r="A191" s="248" t="s">
        <v>135</v>
      </c>
      <c r="B191" s="109">
        <f>+B206-B189</f>
        <v>43456</v>
      </c>
      <c r="C191" s="109">
        <f>+C206-C189</f>
        <v>31847</v>
      </c>
      <c r="D191" s="109">
        <f>90294-B191-C191</f>
        <v>14991</v>
      </c>
      <c r="E191" s="249">
        <f t="shared" si="16"/>
        <v>90294</v>
      </c>
    </row>
    <row r="192" spans="1:5" x14ac:dyDescent="0.2">
      <c r="A192" s="248" t="s">
        <v>147</v>
      </c>
      <c r="B192" s="109"/>
      <c r="C192" s="109"/>
      <c r="D192" s="109"/>
      <c r="E192" s="249">
        <f t="shared" si="16"/>
        <v>0</v>
      </c>
    </row>
    <row r="193" spans="1:5" x14ac:dyDescent="0.2">
      <c r="A193" s="248" t="s">
        <v>136</v>
      </c>
      <c r="B193" s="109"/>
      <c r="C193" s="109"/>
      <c r="D193" s="109"/>
      <c r="E193" s="249">
        <f t="shared" si="16"/>
        <v>0</v>
      </c>
    </row>
    <row r="194" spans="1:5" x14ac:dyDescent="0.2">
      <c r="A194" s="248" t="s">
        <v>137</v>
      </c>
      <c r="B194" s="109"/>
      <c r="C194" s="109"/>
      <c r="D194" s="109"/>
      <c r="E194" s="249">
        <f t="shared" si="16"/>
        <v>0</v>
      </c>
    </row>
    <row r="195" spans="1:5" ht="13.5" thickBot="1" x14ac:dyDescent="0.25">
      <c r="A195" s="110"/>
      <c r="B195" s="111"/>
      <c r="C195" s="111"/>
      <c r="D195" s="111"/>
      <c r="E195" s="249">
        <f t="shared" si="16"/>
        <v>0</v>
      </c>
    </row>
    <row r="196" spans="1:5" ht="13.5" thickBot="1" x14ac:dyDescent="0.25">
      <c r="A196" s="250" t="s">
        <v>139</v>
      </c>
      <c r="B196" s="251">
        <f>B189+SUM(B191:B195)</f>
        <v>43456</v>
      </c>
      <c r="C196" s="251">
        <f>C189+SUM(C191:C195)</f>
        <v>31847</v>
      </c>
      <c r="D196" s="251">
        <f>D189+SUM(D191:D195)</f>
        <v>17456</v>
      </c>
      <c r="E196" s="252">
        <f>E189+SUM(E191:E195)</f>
        <v>92759</v>
      </c>
    </row>
    <row r="197" spans="1:5" ht="13.5" thickBot="1" x14ac:dyDescent="0.25">
      <c r="A197" s="56"/>
      <c r="B197" s="56"/>
      <c r="C197" s="56"/>
      <c r="D197" s="56"/>
      <c r="E197" s="56"/>
    </row>
    <row r="198" spans="1:5" ht="13.5" thickBot="1" x14ac:dyDescent="0.25">
      <c r="A198" s="241" t="s">
        <v>138</v>
      </c>
      <c r="B198" s="242">
        <f>+B188</f>
        <v>2018</v>
      </c>
      <c r="C198" s="242">
        <f>+C188</f>
        <v>2019</v>
      </c>
      <c r="D198" s="242" t="str">
        <f>+D188</f>
        <v>2019 után</v>
      </c>
      <c r="E198" s="243" t="s">
        <v>51</v>
      </c>
    </row>
    <row r="199" spans="1:5" x14ac:dyDescent="0.2">
      <c r="A199" s="244" t="s">
        <v>142</v>
      </c>
      <c r="B199" s="107">
        <v>10395</v>
      </c>
      <c r="C199" s="107">
        <f>10762+786</f>
        <v>11548</v>
      </c>
      <c r="D199" s="107">
        <f>8072+655</f>
        <v>8727</v>
      </c>
      <c r="E199" s="245">
        <f t="shared" ref="E199:E205" si="17">SUM(B199:D199)</f>
        <v>30670</v>
      </c>
    </row>
    <row r="200" spans="1:5" x14ac:dyDescent="0.2">
      <c r="A200" s="253" t="s">
        <v>143</v>
      </c>
      <c r="B200" s="109">
        <v>2311</v>
      </c>
      <c r="C200" s="109"/>
      <c r="D200" s="109"/>
      <c r="E200" s="249">
        <f t="shared" si="17"/>
        <v>2311</v>
      </c>
    </row>
    <row r="201" spans="1:5" x14ac:dyDescent="0.2">
      <c r="A201" s="248" t="s">
        <v>144</v>
      </c>
      <c r="B201" s="109">
        <v>30750</v>
      </c>
      <c r="C201" s="109">
        <v>19819</v>
      </c>
      <c r="D201" s="109">
        <f>-9095+17565</f>
        <v>8470</v>
      </c>
      <c r="E201" s="249">
        <f t="shared" si="17"/>
        <v>59039</v>
      </c>
    </row>
    <row r="202" spans="1:5" x14ac:dyDescent="0.2">
      <c r="A202" s="248" t="s">
        <v>145</v>
      </c>
      <c r="B202" s="109"/>
      <c r="C202" s="109">
        <v>480</v>
      </c>
      <c r="D202" s="109">
        <v>259</v>
      </c>
      <c r="E202" s="249">
        <f t="shared" si="17"/>
        <v>739</v>
      </c>
    </row>
    <row r="203" spans="1:5" x14ac:dyDescent="0.2">
      <c r="A203" s="112"/>
      <c r="B203" s="109"/>
      <c r="C203" s="109"/>
      <c r="D203" s="109"/>
      <c r="E203" s="249">
        <f t="shared" si="17"/>
        <v>0</v>
      </c>
    </row>
    <row r="204" spans="1:5" x14ac:dyDescent="0.2">
      <c r="A204" s="112"/>
      <c r="B204" s="109"/>
      <c r="C204" s="109"/>
      <c r="D204" s="109"/>
      <c r="E204" s="249">
        <f t="shared" si="17"/>
        <v>0</v>
      </c>
    </row>
    <row r="205" spans="1:5" ht="13.5" thickBot="1" x14ac:dyDescent="0.25">
      <c r="A205" s="110"/>
      <c r="B205" s="111"/>
      <c r="C205" s="111"/>
      <c r="D205" s="111"/>
      <c r="E205" s="249">
        <f t="shared" si="17"/>
        <v>0</v>
      </c>
    </row>
    <row r="206" spans="1:5" ht="13.5" thickBot="1" x14ac:dyDescent="0.25">
      <c r="A206" s="250" t="s">
        <v>53</v>
      </c>
      <c r="B206" s="251">
        <f>SUM(B199:B205)</f>
        <v>43456</v>
      </c>
      <c r="C206" s="251">
        <f>SUM(C199:C205)</f>
        <v>31847</v>
      </c>
      <c r="D206" s="251">
        <f>SUM(D199:D205)</f>
        <v>17456</v>
      </c>
      <c r="E206" s="252">
        <f>SUM(E199:E205)</f>
        <v>92759</v>
      </c>
    </row>
    <row r="207" spans="1:5" x14ac:dyDescent="0.2">
      <c r="A207" s="666"/>
      <c r="B207" s="667"/>
      <c r="C207" s="667"/>
      <c r="D207" s="667"/>
      <c r="E207" s="667"/>
    </row>
    <row r="208" spans="1:5" x14ac:dyDescent="0.2">
      <c r="A208" s="666"/>
      <c r="B208" s="667"/>
      <c r="C208" s="667"/>
      <c r="D208" s="667"/>
      <c r="E208" s="667"/>
    </row>
    <row r="209" spans="1:5" ht="25.5" customHeight="1" x14ac:dyDescent="0.2">
      <c r="A209" s="668" t="s">
        <v>140</v>
      </c>
      <c r="B209" s="692" t="s">
        <v>753</v>
      </c>
      <c r="C209" s="692"/>
      <c r="D209" s="692"/>
      <c r="E209" s="692"/>
    </row>
    <row r="210" spans="1:5" ht="14.25" thickBot="1" x14ac:dyDescent="0.3">
      <c r="A210" s="240"/>
      <c r="B210" s="240"/>
      <c r="C210" s="240"/>
      <c r="D210" s="694" t="s">
        <v>133</v>
      </c>
      <c r="E210" s="694"/>
    </row>
    <row r="211" spans="1:5" ht="13.5" thickBot="1" x14ac:dyDescent="0.25">
      <c r="A211" s="241" t="s">
        <v>132</v>
      </c>
      <c r="B211" s="242">
        <f>+B198</f>
        <v>2018</v>
      </c>
      <c r="C211" s="242">
        <f>+C198</f>
        <v>2019</v>
      </c>
      <c r="D211" s="242" t="str">
        <f>+D198</f>
        <v>2019 után</v>
      </c>
      <c r="E211" s="243" t="s">
        <v>51</v>
      </c>
    </row>
    <row r="212" spans="1:5" x14ac:dyDescent="0.2">
      <c r="A212" s="244" t="s">
        <v>134</v>
      </c>
      <c r="B212" s="107"/>
      <c r="C212" s="107"/>
      <c r="D212" s="107"/>
      <c r="E212" s="245">
        <f t="shared" ref="E212:E218" si="18">SUM(B212:D212)</f>
        <v>0</v>
      </c>
    </row>
    <row r="213" spans="1:5" x14ac:dyDescent="0.2">
      <c r="A213" s="246" t="s">
        <v>146</v>
      </c>
      <c r="B213" s="108"/>
      <c r="C213" s="108"/>
      <c r="D213" s="108"/>
      <c r="E213" s="247">
        <f t="shared" si="18"/>
        <v>0</v>
      </c>
    </row>
    <row r="214" spans="1:5" x14ac:dyDescent="0.2">
      <c r="A214" s="248" t="s">
        <v>135</v>
      </c>
      <c r="B214" s="109">
        <f>+B229</f>
        <v>126405</v>
      </c>
      <c r="C214" s="109">
        <f>+C229</f>
        <v>27260</v>
      </c>
      <c r="D214" s="109">
        <f>+D229</f>
        <v>27877</v>
      </c>
      <c r="E214" s="249">
        <f t="shared" si="18"/>
        <v>181542</v>
      </c>
    </row>
    <row r="215" spans="1:5" x14ac:dyDescent="0.2">
      <c r="A215" s="248" t="s">
        <v>147</v>
      </c>
      <c r="B215" s="109"/>
      <c r="C215" s="109"/>
      <c r="D215" s="109"/>
      <c r="E215" s="249">
        <f t="shared" si="18"/>
        <v>0</v>
      </c>
    </row>
    <row r="216" spans="1:5" x14ac:dyDescent="0.2">
      <c r="A216" s="248" t="s">
        <v>136</v>
      </c>
      <c r="B216" s="109"/>
      <c r="C216" s="109"/>
      <c r="D216" s="109"/>
      <c r="E216" s="249">
        <f t="shared" si="18"/>
        <v>0</v>
      </c>
    </row>
    <row r="217" spans="1:5" x14ac:dyDescent="0.2">
      <c r="A217" s="248" t="s">
        <v>137</v>
      </c>
      <c r="B217" s="109"/>
      <c r="C217" s="109"/>
      <c r="D217" s="109"/>
      <c r="E217" s="249">
        <f t="shared" si="18"/>
        <v>0</v>
      </c>
    </row>
    <row r="218" spans="1:5" ht="13.5" thickBot="1" x14ac:dyDescent="0.25">
      <c r="A218" s="110"/>
      <c r="B218" s="111"/>
      <c r="C218" s="111"/>
      <c r="D218" s="111"/>
      <c r="E218" s="249">
        <f t="shared" si="18"/>
        <v>0</v>
      </c>
    </row>
    <row r="219" spans="1:5" ht="13.5" thickBot="1" x14ac:dyDescent="0.25">
      <c r="A219" s="250" t="s">
        <v>139</v>
      </c>
      <c r="B219" s="251">
        <f>B212+SUM(B214:B218)</f>
        <v>126405</v>
      </c>
      <c r="C219" s="251">
        <f>C212+SUM(C214:C218)</f>
        <v>27260</v>
      </c>
      <c r="D219" s="251">
        <f>D212+SUM(D214:D218)</f>
        <v>27877</v>
      </c>
      <c r="E219" s="252">
        <f>E212+SUM(E214:E218)</f>
        <v>181542</v>
      </c>
    </row>
    <row r="220" spans="1:5" ht="13.5" thickBot="1" x14ac:dyDescent="0.25">
      <c r="A220" s="56"/>
      <c r="B220" s="56"/>
      <c r="C220" s="56"/>
      <c r="D220" s="56"/>
      <c r="E220" s="56"/>
    </row>
    <row r="221" spans="1:5" ht="13.5" thickBot="1" x14ac:dyDescent="0.25">
      <c r="A221" s="241" t="s">
        <v>138</v>
      </c>
      <c r="B221" s="242">
        <f>+B211</f>
        <v>2018</v>
      </c>
      <c r="C221" s="242">
        <f>+C211</f>
        <v>2019</v>
      </c>
      <c r="D221" s="242" t="str">
        <f>+D211</f>
        <v>2019 után</v>
      </c>
      <c r="E221" s="243" t="s">
        <v>51</v>
      </c>
    </row>
    <row r="222" spans="1:5" x14ac:dyDescent="0.2">
      <c r="A222" s="244" t="s">
        <v>142</v>
      </c>
      <c r="B222" s="107">
        <f>912+4998</f>
        <v>5910</v>
      </c>
      <c r="C222" s="107">
        <f>913+4468</f>
        <v>5381</v>
      </c>
      <c r="D222" s="107">
        <v>5564</v>
      </c>
      <c r="E222" s="245">
        <f t="shared" ref="E222:E228" si="19">SUM(B222:D222)</f>
        <v>16855</v>
      </c>
    </row>
    <row r="223" spans="1:5" x14ac:dyDescent="0.2">
      <c r="A223" s="253" t="s">
        <v>143</v>
      </c>
      <c r="B223" s="109">
        <v>82728</v>
      </c>
      <c r="C223" s="109"/>
      <c r="D223" s="109"/>
      <c r="E223" s="249">
        <f t="shared" si="19"/>
        <v>82728</v>
      </c>
    </row>
    <row r="224" spans="1:5" x14ac:dyDescent="0.2">
      <c r="A224" s="248" t="s">
        <v>144</v>
      </c>
      <c r="B224" s="109">
        <v>37767</v>
      </c>
      <c r="C224" s="109">
        <v>21879</v>
      </c>
      <c r="D224" s="109">
        <v>22313</v>
      </c>
      <c r="E224" s="249">
        <f t="shared" si="19"/>
        <v>81959</v>
      </c>
    </row>
    <row r="225" spans="1:5" x14ac:dyDescent="0.2">
      <c r="A225" s="248" t="s">
        <v>145</v>
      </c>
      <c r="B225" s="109"/>
      <c r="C225" s="109"/>
      <c r="D225" s="109"/>
      <c r="E225" s="249">
        <f t="shared" si="19"/>
        <v>0</v>
      </c>
    </row>
    <row r="226" spans="1:5" x14ac:dyDescent="0.2">
      <c r="A226" s="112"/>
      <c r="B226" s="109"/>
      <c r="C226" s="109"/>
      <c r="D226" s="109"/>
      <c r="E226" s="249">
        <f t="shared" si="19"/>
        <v>0</v>
      </c>
    </row>
    <row r="227" spans="1:5" x14ac:dyDescent="0.2">
      <c r="A227" s="112"/>
      <c r="B227" s="109"/>
      <c r="C227" s="109"/>
      <c r="D227" s="109"/>
      <c r="E227" s="249">
        <f t="shared" si="19"/>
        <v>0</v>
      </c>
    </row>
    <row r="228" spans="1:5" ht="13.5" thickBot="1" x14ac:dyDescent="0.25">
      <c r="A228" s="110"/>
      <c r="B228" s="111"/>
      <c r="C228" s="111"/>
      <c r="D228" s="111"/>
      <c r="E228" s="249">
        <f t="shared" si="19"/>
        <v>0</v>
      </c>
    </row>
    <row r="229" spans="1:5" ht="13.5" thickBot="1" x14ac:dyDescent="0.25">
      <c r="A229" s="250" t="s">
        <v>53</v>
      </c>
      <c r="B229" s="251">
        <f>SUM(B222:B228)</f>
        <v>126405</v>
      </c>
      <c r="C229" s="251">
        <f>SUM(C222:C228)</f>
        <v>27260</v>
      </c>
      <c r="D229" s="251">
        <f>SUM(D222:D228)</f>
        <v>27877</v>
      </c>
      <c r="E229" s="252">
        <f>SUM(E222:E228)</f>
        <v>181542</v>
      </c>
    </row>
  </sheetData>
  <mergeCells count="20">
    <mergeCell ref="B186:E186"/>
    <mergeCell ref="D187:E187"/>
    <mergeCell ref="B209:E209"/>
    <mergeCell ref="D210:E210"/>
    <mergeCell ref="D118:E118"/>
    <mergeCell ref="B140:E140"/>
    <mergeCell ref="D141:E141"/>
    <mergeCell ref="B163:E163"/>
    <mergeCell ref="D164:E164"/>
    <mergeCell ref="B71:E71"/>
    <mergeCell ref="D72:E72"/>
    <mergeCell ref="B94:E94"/>
    <mergeCell ref="D95:E95"/>
    <mergeCell ref="B117:E117"/>
    <mergeCell ref="B2:E2"/>
    <mergeCell ref="B25:E25"/>
    <mergeCell ref="D3:E3"/>
    <mergeCell ref="D26:E26"/>
    <mergeCell ref="D49:E49"/>
    <mergeCell ref="B48:E48"/>
  </mergeCells>
  <phoneticPr fontId="30" type="noConversion"/>
  <conditionalFormatting sqref="E5:E12 B12:D12 B22:E22 E15:E21 E28:E35 B35:D35 E38:E47 B45:D47 B92:E93 B115:E116 B138:E139 B161:E162 B184:E185 B207:E208 B69:E70">
    <cfRule type="cellIs" dxfId="9" priority="9" stopIfTrue="1" operator="equal">
      <formula>0</formula>
    </cfRule>
  </conditionalFormatting>
  <conditionalFormatting sqref="E51:E58 B58:D58 E61:E68 B68:D68">
    <cfRule type="cellIs" dxfId="8" priority="8" stopIfTrue="1" operator="equal">
      <formula>0</formula>
    </cfRule>
  </conditionalFormatting>
  <conditionalFormatting sqref="E74:E81 B81:D81 E84:E91 B91:D91">
    <cfRule type="cellIs" dxfId="7" priority="7" stopIfTrue="1" operator="equal">
      <formula>0</formula>
    </cfRule>
  </conditionalFormatting>
  <conditionalFormatting sqref="E97:E104 B104:D104 E107:E114 B114:D114">
    <cfRule type="cellIs" dxfId="6" priority="6" stopIfTrue="1" operator="equal">
      <formula>0</formula>
    </cfRule>
  </conditionalFormatting>
  <conditionalFormatting sqref="E120:E127 B127:D127 E130:E137 B137:D137">
    <cfRule type="cellIs" dxfId="5" priority="5" stopIfTrue="1" operator="equal">
      <formula>0</formula>
    </cfRule>
  </conditionalFormatting>
  <conditionalFormatting sqref="E143:E150 B150:D150 E153:E160 B160:D160">
    <cfRule type="cellIs" dxfId="4" priority="4" stopIfTrue="1" operator="equal">
      <formula>0</formula>
    </cfRule>
  </conditionalFormatting>
  <conditionalFormatting sqref="E166:E173 B173:D173 E176:E183 B183:D183">
    <cfRule type="cellIs" dxfId="3" priority="3" stopIfTrue="1" operator="equal">
      <formula>0</formula>
    </cfRule>
  </conditionalFormatting>
  <conditionalFormatting sqref="E189:E196 B196:D196 E199:E206 B206:D206">
    <cfRule type="cellIs" dxfId="2" priority="2" stopIfTrue="1" operator="equal">
      <formula>0</formula>
    </cfRule>
  </conditionalFormatting>
  <conditionalFormatting sqref="E212:E219 B219:D219 E222:E229 B229:D229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4/2018. (II. 20.) önkormányzati rendelethez</oddHeader>
  </headerFooter>
  <rowBreaks count="4" manualBreakCount="4">
    <brk id="47" max="16383" man="1"/>
    <brk id="93" max="16383" man="1"/>
    <brk id="139" max="16383" man="1"/>
    <brk id="18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view="pageBreakPreview" zoomScale="85" zoomScaleNormal="130" zoomScaleSheetLayoutView="85" workbookViewId="0">
      <selection activeCell="C2" sqref="C2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 melléklet a 4/",LEFT(ÖSSZEFÜGGÉSEK!A5,4),". (II. 20.) önkormányzati rendelethez")</f>
        <v>9.1. melléklet a 4/2018. (II. 20.)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401</v>
      </c>
      <c r="C3" s="538"/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670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540934975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f>'9.1.1. sz. mell ÖNK'!C9+'9.1.2. sz. mell ÖNK'!C9+'9.1.3. sz. mell ÖNK'!C9</f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3">
        <f>'9.1.1. sz. mell ÖNK'!C10+'9.1.2. sz. mell ÖNK'!C10+'9.1.3. sz. mell ÖNK'!C10</f>
        <v>105196033</v>
      </c>
      <c r="E10" s="583">
        <f>SUM(C9:C12)</f>
        <v>509125920</v>
      </c>
    </row>
    <row r="11" spans="1:5" s="116" customFormat="1" ht="12" customHeight="1" x14ac:dyDescent="0.2">
      <c r="A11" s="479" t="s">
        <v>101</v>
      </c>
      <c r="B11" s="460" t="s">
        <v>553</v>
      </c>
      <c r="C11" s="333">
        <f>'9.1.1. sz. mell ÖNK'!C11+'9.1.2. sz. mell ÖNK'!C11+'9.1.3. sz. mell ÖNK'!C11</f>
        <v>191749404</v>
      </c>
    </row>
    <row r="12" spans="1:5" s="116" customFormat="1" ht="12" customHeight="1" x14ac:dyDescent="0.2">
      <c r="A12" s="479" t="s">
        <v>102</v>
      </c>
      <c r="B12" s="460" t="s">
        <v>255</v>
      </c>
      <c r="C12" s="333">
        <f>'9.1.1. sz. mell ÖNK'!C12+'9.1.2. sz. mell ÖNK'!C12+'9.1.3. sz. mell ÖNK'!C12</f>
        <v>9988396</v>
      </c>
    </row>
    <row r="13" spans="1:5" s="116" customFormat="1" ht="12" customHeight="1" x14ac:dyDescent="0.2">
      <c r="A13" s="479" t="s">
        <v>148</v>
      </c>
      <c r="B13" s="460" t="s">
        <v>507</v>
      </c>
      <c r="C13" s="333">
        <f>'9.1.1. sz. mell ÖNK'!C13+'9.1.2. sz. mell ÖNK'!C13+'9.1.3. sz. mell ÖNK'!C13</f>
        <v>31809055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3">
        <f>'9.1.1. sz. mell ÖNK'!C14+'9.1.2. sz. mell ÖNK'!C14+'9.1.3. sz. mell ÖNK'!C14</f>
        <v>0</v>
      </c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282641139</v>
      </c>
    </row>
    <row r="16" spans="1:5" s="115" customFormat="1" ht="12" customHeight="1" x14ac:dyDescent="0.2">
      <c r="A16" s="478" t="s">
        <v>105</v>
      </c>
      <c r="B16" s="459" t="s">
        <v>257</v>
      </c>
      <c r="C16" s="333">
        <f>'9.1.1. sz. mell ÖNK'!C16+'9.1.2. sz. mell ÖNK'!C16+'9.1.3. sz. mell ÖNK'!C16</f>
        <v>0</v>
      </c>
    </row>
    <row r="17" spans="1:3" s="115" customFormat="1" ht="12" customHeight="1" x14ac:dyDescent="0.2">
      <c r="A17" s="479" t="s">
        <v>106</v>
      </c>
      <c r="B17" s="460" t="s">
        <v>258</v>
      </c>
      <c r="C17" s="333">
        <f>'9.1.1. sz. mell ÖNK'!C17+'9.1.2. sz. mell ÖNK'!C17+'9.1.3. sz. mell ÖNK'!C17</f>
        <v>0</v>
      </c>
    </row>
    <row r="18" spans="1:3" s="115" customFormat="1" ht="12" customHeight="1" x14ac:dyDescent="0.2">
      <c r="A18" s="479" t="s">
        <v>107</v>
      </c>
      <c r="B18" s="460" t="s">
        <v>425</v>
      </c>
      <c r="C18" s="333">
        <f>'9.1.1. sz. mell ÖNK'!C18+'9.1.2. sz. mell ÖNK'!C18+'9.1.3. sz. mell ÖNK'!C18</f>
        <v>0</v>
      </c>
    </row>
    <row r="19" spans="1:3" s="115" customFormat="1" ht="12" customHeight="1" x14ac:dyDescent="0.2">
      <c r="A19" s="479" t="s">
        <v>108</v>
      </c>
      <c r="B19" s="460" t="s">
        <v>426</v>
      </c>
      <c r="C19" s="333">
        <f>'9.1.1. sz. mell ÖNK'!C19+'9.1.2. sz. mell ÖNK'!C19+'9.1.3. sz. mell ÖNK'!C19</f>
        <v>0</v>
      </c>
    </row>
    <row r="20" spans="1:3" s="115" customFormat="1" ht="12" customHeight="1" x14ac:dyDescent="0.2">
      <c r="A20" s="479" t="s">
        <v>109</v>
      </c>
      <c r="B20" s="460" t="s">
        <v>259</v>
      </c>
      <c r="C20" s="333">
        <f>'9.1.1. sz. mell ÖNK'!C20+'9.1.2. sz. mell ÖNK'!C20+'9.1.3. sz. mell ÖNK'!C20</f>
        <v>282641139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3">
        <f>'9.1.1. sz. mell ÖNK'!C21+'9.1.2. sz. mell ÖNK'!C21+'9.1.3. sz. mell ÖNK'!C21</f>
        <v>60826054</v>
      </c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319680797</v>
      </c>
    </row>
    <row r="23" spans="1:3" s="116" customFormat="1" ht="12" customHeight="1" x14ac:dyDescent="0.2">
      <c r="A23" s="478" t="s">
        <v>88</v>
      </c>
      <c r="B23" s="459" t="s">
        <v>262</v>
      </c>
      <c r="C23" s="333">
        <f>'9.1.1. sz. mell ÖNK'!C23+'9.1.2. sz. mell ÖNK'!C23+'9.1.3. sz. mell ÖNK'!C23</f>
        <v>0</v>
      </c>
    </row>
    <row r="24" spans="1:3" s="115" customFormat="1" ht="12" customHeight="1" x14ac:dyDescent="0.2">
      <c r="A24" s="479" t="s">
        <v>89</v>
      </c>
      <c r="B24" s="460" t="s">
        <v>263</v>
      </c>
      <c r="C24" s="333">
        <f>'9.1.1. sz. mell ÖNK'!C24+'9.1.2. sz. mell ÖNK'!C24+'9.1.3. sz. mell ÖNK'!C24</f>
        <v>0</v>
      </c>
    </row>
    <row r="25" spans="1:3" s="116" customFormat="1" ht="12" customHeight="1" x14ac:dyDescent="0.2">
      <c r="A25" s="479" t="s">
        <v>90</v>
      </c>
      <c r="B25" s="460" t="s">
        <v>427</v>
      </c>
      <c r="C25" s="333">
        <f>'9.1.1. sz. mell ÖNK'!C25+'9.1.2. sz. mell ÖNK'!C25+'9.1.3. sz. mell ÖNK'!C25</f>
        <v>0</v>
      </c>
    </row>
    <row r="26" spans="1:3" s="116" customFormat="1" ht="12" customHeight="1" x14ac:dyDescent="0.2">
      <c r="A26" s="479" t="s">
        <v>91</v>
      </c>
      <c r="B26" s="460" t="s">
        <v>428</v>
      </c>
      <c r="C26" s="333">
        <f>'9.1.1. sz. mell ÖNK'!C26+'9.1.2. sz. mell ÖNK'!C26+'9.1.3. sz. mell ÖNK'!C26</f>
        <v>0</v>
      </c>
    </row>
    <row r="27" spans="1:3" s="116" customFormat="1" ht="12" customHeight="1" x14ac:dyDescent="0.2">
      <c r="A27" s="479" t="s">
        <v>168</v>
      </c>
      <c r="B27" s="460" t="s">
        <v>264</v>
      </c>
      <c r="C27" s="333">
        <f>'9.1.1. sz. mell ÖNK'!C27+'9.1.2. sz. mell ÖNK'!C27+'9.1.3. sz. mell ÖNK'!C27</f>
        <v>319680797</v>
      </c>
    </row>
    <row r="28" spans="1:3" s="116" customFormat="1" ht="12" customHeight="1" thickBot="1" x14ac:dyDescent="0.25">
      <c r="A28" s="480" t="s">
        <v>169</v>
      </c>
      <c r="B28" s="461" t="s">
        <v>265</v>
      </c>
      <c r="C28" s="333">
        <f>'9.1.1. sz. mell ÖNK'!C28+'9.1.2. sz. mell ÖNK'!C28+'9.1.3. sz. mell ÖNK'!C28</f>
        <v>319680797</v>
      </c>
    </row>
    <row r="29" spans="1:3" s="116" customFormat="1" ht="12" customHeight="1" thickBot="1" x14ac:dyDescent="0.25">
      <c r="A29" s="36" t="s">
        <v>170</v>
      </c>
      <c r="B29" s="21" t="s">
        <v>563</v>
      </c>
      <c r="C29" s="336">
        <f>+C30+C35+C36+C37+C33+C34+C31+C32</f>
        <v>108425000</v>
      </c>
    </row>
    <row r="30" spans="1:3" s="116" customFormat="1" ht="12" customHeight="1" x14ac:dyDescent="0.2">
      <c r="A30" s="478" t="s">
        <v>267</v>
      </c>
      <c r="B30" s="459" t="s">
        <v>558</v>
      </c>
      <c r="C30" s="454">
        <f>'9.1.1. sz. mell ÖNK'!C30+'9.1.2. sz. mell ÖNK'!C30+'9.1.3. sz. mell ÖNK'!C30</f>
        <v>0</v>
      </c>
    </row>
    <row r="31" spans="1:3" s="116" customFormat="1" ht="12" customHeight="1" x14ac:dyDescent="0.2">
      <c r="A31" s="479" t="s">
        <v>268</v>
      </c>
      <c r="B31" s="460" t="s">
        <v>559</v>
      </c>
      <c r="C31" s="454">
        <f>'9.1.1. sz. mell ÖNK'!C31+'9.1.2. sz. mell ÖNK'!C31+'9.1.3. sz. mell ÖNK'!C31</f>
        <v>15000</v>
      </c>
    </row>
    <row r="32" spans="1:3" s="116" customFormat="1" ht="12" customHeight="1" x14ac:dyDescent="0.2">
      <c r="A32" s="479" t="s">
        <v>269</v>
      </c>
      <c r="B32" s="460" t="s">
        <v>712</v>
      </c>
      <c r="C32" s="454">
        <f>'9.1.1. sz. mell ÖNK'!C32+'9.1.2. sz. mell ÖNK'!C31+'9.1.3. sz. mell ÖNK'!C31</f>
        <v>14000000</v>
      </c>
    </row>
    <row r="33" spans="1:3" s="116" customFormat="1" ht="12" customHeight="1" x14ac:dyDescent="0.2">
      <c r="A33" s="479" t="s">
        <v>270</v>
      </c>
      <c r="B33" s="460" t="s">
        <v>560</v>
      </c>
      <c r="C33" s="454">
        <f>'9.1.1. sz. mell ÖNK'!C33+'9.1.2. sz. mell ÖNK'!C33+'9.1.3. sz. mell ÖNK'!C33</f>
        <v>80000000</v>
      </c>
    </row>
    <row r="34" spans="1:3" s="116" customFormat="1" ht="12" customHeight="1" x14ac:dyDescent="0.2">
      <c r="A34" s="479" t="s">
        <v>555</v>
      </c>
      <c r="B34" s="460" t="s">
        <v>561</v>
      </c>
      <c r="C34" s="454">
        <f>'9.1.1. sz. mell ÖNK'!C34+'9.1.2. sz. mell ÖNK'!C34+'9.1.3. sz. mell ÖNK'!C34</f>
        <v>10000</v>
      </c>
    </row>
    <row r="35" spans="1:3" s="116" customFormat="1" ht="12" customHeight="1" x14ac:dyDescent="0.2">
      <c r="A35" s="479" t="s">
        <v>556</v>
      </c>
      <c r="B35" s="460" t="s">
        <v>271</v>
      </c>
      <c r="C35" s="454">
        <f>'9.1.1. sz. mell ÖNK'!C35+'9.1.2. sz. mell ÖNK'!C35+'9.1.3. sz. mell ÖNK'!C35</f>
        <v>13000000</v>
      </c>
    </row>
    <row r="36" spans="1:3" s="116" customFormat="1" ht="12" customHeight="1" x14ac:dyDescent="0.2">
      <c r="A36" s="480" t="s">
        <v>557</v>
      </c>
      <c r="B36" s="460" t="s">
        <v>272</v>
      </c>
      <c r="C36" s="454">
        <f>'9.1.1. sz. mell ÖNK'!C36+'9.1.2. sz. mell ÖNK'!C36+'9.1.3. sz. mell ÖNK'!C36</f>
        <v>0</v>
      </c>
    </row>
    <row r="37" spans="1:3" s="116" customFormat="1" ht="12" customHeight="1" thickBot="1" x14ac:dyDescent="0.25">
      <c r="A37" s="480" t="s">
        <v>713</v>
      </c>
      <c r="B37" s="564" t="s">
        <v>273</v>
      </c>
      <c r="C37" s="454">
        <f>'9.1.1. sz. mell ÖNK'!C37+'9.1.2. sz. mell ÖNK'!C37+'9.1.3. sz. mell ÖNK'!C37</f>
        <v>1400000</v>
      </c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32576954</v>
      </c>
    </row>
    <row r="39" spans="1:3" s="116" customFormat="1" ht="12" customHeight="1" x14ac:dyDescent="0.2">
      <c r="A39" s="478" t="s">
        <v>92</v>
      </c>
      <c r="B39" s="459" t="s">
        <v>276</v>
      </c>
      <c r="C39" s="333">
        <f>'9.1.1. sz. mell ÖNK'!C39+'9.1.2. sz. mell ÖNK'!C39+'9.1.3. sz. mell ÖNK'!C39</f>
        <v>0</v>
      </c>
    </row>
    <row r="40" spans="1:3" s="116" customFormat="1" ht="12" customHeight="1" x14ac:dyDescent="0.2">
      <c r="A40" s="479" t="s">
        <v>93</v>
      </c>
      <c r="B40" s="460" t="s">
        <v>277</v>
      </c>
      <c r="C40" s="333">
        <f>'9.1.1. sz. mell ÖNK'!C40+'9.1.2. sz. mell ÖNK'!C40+'9.1.3. sz. mell ÖNK'!C40</f>
        <v>10086055</v>
      </c>
    </row>
    <row r="41" spans="1:3" s="116" customFormat="1" ht="12" customHeight="1" x14ac:dyDescent="0.2">
      <c r="A41" s="479" t="s">
        <v>94</v>
      </c>
      <c r="B41" s="460" t="s">
        <v>278</v>
      </c>
      <c r="C41" s="333">
        <f>'9.1.1. sz. mell ÖNK'!C41+'9.1.2. sz. mell ÖNK'!C41+'9.1.3. sz. mell ÖNK'!C41</f>
        <v>2800000</v>
      </c>
    </row>
    <row r="42" spans="1:3" s="116" customFormat="1" ht="12" customHeight="1" x14ac:dyDescent="0.2">
      <c r="A42" s="479" t="s">
        <v>172</v>
      </c>
      <c r="B42" s="460" t="s">
        <v>279</v>
      </c>
      <c r="C42" s="333">
        <f>'9.1.1. sz. mell ÖNK'!C42+'9.1.2. sz. mell ÖNK'!C42+'9.1.3. sz. mell ÖNK'!C42</f>
        <v>0</v>
      </c>
    </row>
    <row r="43" spans="1:3" s="116" customFormat="1" ht="12" customHeight="1" x14ac:dyDescent="0.2">
      <c r="A43" s="479" t="s">
        <v>173</v>
      </c>
      <c r="B43" s="460" t="s">
        <v>280</v>
      </c>
      <c r="C43" s="333">
        <f>'9.1.1. sz. mell ÖNK'!C43+'9.1.2. sz. mell ÖNK'!C43+'9.1.3. sz. mell ÖNK'!C43</f>
        <v>0</v>
      </c>
    </row>
    <row r="44" spans="1:3" s="116" customFormat="1" ht="12" customHeight="1" x14ac:dyDescent="0.2">
      <c r="A44" s="479" t="s">
        <v>174</v>
      </c>
      <c r="B44" s="460" t="s">
        <v>281</v>
      </c>
      <c r="C44" s="333">
        <f>'9.1.1. sz. mell ÖNK'!C44+'9.1.2. sz. mell ÖNK'!C44+'9.1.3. sz. mell ÖNK'!C44</f>
        <v>19690899</v>
      </c>
    </row>
    <row r="45" spans="1:3" s="116" customFormat="1" ht="12" customHeight="1" x14ac:dyDescent="0.2">
      <c r="A45" s="479" t="s">
        <v>175</v>
      </c>
      <c r="B45" s="460" t="s">
        <v>282</v>
      </c>
      <c r="C45" s="333">
        <f>'9.1.1. sz. mell ÖNK'!C45+'9.1.2. sz. mell ÖNK'!C45+'9.1.3. sz. mell ÖNK'!C45</f>
        <v>0</v>
      </c>
    </row>
    <row r="46" spans="1:3" s="116" customFormat="1" ht="12" customHeight="1" x14ac:dyDescent="0.2">
      <c r="A46" s="479" t="s">
        <v>176</v>
      </c>
      <c r="B46" s="460" t="s">
        <v>562</v>
      </c>
      <c r="C46" s="333">
        <f>'9.1.1. sz. mell ÖNK'!C46+'9.1.2. sz. mell ÖNK'!C46+'9.1.3. sz. mell ÖNK'!C46</f>
        <v>0</v>
      </c>
    </row>
    <row r="47" spans="1:3" s="116" customFormat="1" ht="12" customHeight="1" x14ac:dyDescent="0.2">
      <c r="A47" s="479" t="s">
        <v>274</v>
      </c>
      <c r="B47" s="460" t="s">
        <v>284</v>
      </c>
      <c r="C47" s="333">
        <f>'9.1.1. sz. mell ÖNK'!C47+'9.1.2. sz. mell ÖNK'!C47+'9.1.3. sz. mell ÖNK'!C47</f>
        <v>0</v>
      </c>
    </row>
    <row r="48" spans="1:3" s="116" customFormat="1" ht="12" customHeight="1" x14ac:dyDescent="0.2">
      <c r="A48" s="480" t="s">
        <v>275</v>
      </c>
      <c r="B48" s="461" t="s">
        <v>439</v>
      </c>
      <c r="C48" s="333">
        <f>'9.1.1. sz. mell ÖNK'!C48+'9.1.2. sz. mell ÖNK'!C48+'9.1.3. sz. mell ÖNK'!C48</f>
        <v>0</v>
      </c>
    </row>
    <row r="49" spans="1:3" s="116" customFormat="1" ht="12" customHeight="1" thickBot="1" x14ac:dyDescent="0.25">
      <c r="A49" s="480" t="s">
        <v>438</v>
      </c>
      <c r="B49" s="461" t="s">
        <v>285</v>
      </c>
      <c r="C49" s="333">
        <f>'9.1.1. sz. mell ÖNK'!C49+'9.1.2. sz. mell ÖNK'!C49+'9.1.3. sz. mell ÖNK'!C49</f>
        <v>0</v>
      </c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70643198</v>
      </c>
    </row>
    <row r="51" spans="1:3" s="116" customFormat="1" ht="12" customHeight="1" x14ac:dyDescent="0.2">
      <c r="A51" s="478" t="s">
        <v>95</v>
      </c>
      <c r="B51" s="459" t="s">
        <v>290</v>
      </c>
      <c r="C51" s="504">
        <f>'9.1.1. sz. mell ÖNK'!C51+'9.1.2. sz. mell ÖNK'!C51+'9.1.3. sz. mell ÖNK'!C51</f>
        <v>0</v>
      </c>
    </row>
    <row r="52" spans="1:3" s="116" customFormat="1" ht="12" customHeight="1" x14ac:dyDescent="0.2">
      <c r="A52" s="479" t="s">
        <v>96</v>
      </c>
      <c r="B52" s="460" t="s">
        <v>291</v>
      </c>
      <c r="C52" s="504">
        <f>'9.1.1. sz. mell ÖNK'!C52+'9.1.2. sz. mell ÖNK'!C52+'9.1.3. sz. mell ÖNK'!C52</f>
        <v>70643198</v>
      </c>
    </row>
    <row r="53" spans="1:3" s="116" customFormat="1" ht="12" customHeight="1" x14ac:dyDescent="0.2">
      <c r="A53" s="479" t="s">
        <v>287</v>
      </c>
      <c r="B53" s="460" t="s">
        <v>292</v>
      </c>
      <c r="C53" s="504">
        <f>'9.1.1. sz. mell ÖNK'!C53+'9.1.2. sz. mell ÖNK'!C53+'9.1.3. sz. mell ÖNK'!C53</f>
        <v>0</v>
      </c>
    </row>
    <row r="54" spans="1:3" s="116" customFormat="1" ht="12" customHeight="1" x14ac:dyDescent="0.2">
      <c r="A54" s="479" t="s">
        <v>288</v>
      </c>
      <c r="B54" s="460" t="s">
        <v>293</v>
      </c>
      <c r="C54" s="504">
        <f>'9.1.1. sz. mell ÖNK'!C54+'9.1.2. sz. mell ÖNK'!C54+'9.1.3. sz. mell ÖNK'!C54</f>
        <v>0</v>
      </c>
    </row>
    <row r="55" spans="1:3" s="116" customFormat="1" ht="12" customHeight="1" thickBot="1" x14ac:dyDescent="0.25">
      <c r="A55" s="480" t="s">
        <v>289</v>
      </c>
      <c r="B55" s="461" t="s">
        <v>294</v>
      </c>
      <c r="C55" s="504">
        <f>'9.1.1. sz. mell ÖNK'!C55+'9.1.2. sz. mell ÖNK'!C55+'9.1.3. sz. mell ÖNK'!C55</f>
        <v>0</v>
      </c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>
        <f>'9.1.1. sz. mell ÖNK'!C57+'9.1.2. sz. mell ÖNK'!C57+'9.1.3. sz. mell ÖNK'!C57</f>
        <v>0</v>
      </c>
    </row>
    <row r="58" spans="1:3" s="116" customFormat="1" ht="12" customHeight="1" x14ac:dyDescent="0.2">
      <c r="A58" s="479" t="s">
        <v>98</v>
      </c>
      <c r="B58" s="460" t="s">
        <v>429</v>
      </c>
      <c r="C58" s="333">
        <f>'9.1.1. sz. mell ÖNK'!C58+'9.1.2. sz. mell ÖNK'!C58+'9.1.3. sz. mell ÖNK'!C58</f>
        <v>0</v>
      </c>
    </row>
    <row r="59" spans="1:3" s="116" customFormat="1" ht="12" customHeight="1" x14ac:dyDescent="0.2">
      <c r="A59" s="479" t="s">
        <v>299</v>
      </c>
      <c r="B59" s="460" t="s">
        <v>297</v>
      </c>
      <c r="C59" s="333">
        <f>'9.1.1. sz. mell ÖNK'!C59+'9.1.2. sz. mell ÖNK'!C59+'9.1.3. sz. mell ÖNK'!C59</f>
        <v>0</v>
      </c>
    </row>
    <row r="60" spans="1:3" s="116" customFormat="1" ht="12" customHeight="1" thickBot="1" x14ac:dyDescent="0.25">
      <c r="A60" s="480" t="s">
        <v>300</v>
      </c>
      <c r="B60" s="461" t="s">
        <v>298</v>
      </c>
      <c r="C60" s="333">
        <f>'9.1.1. sz. mell ÖNK'!C60+'9.1.2. sz. mell ÖNK'!C60+'9.1.3. sz. mell ÖNK'!C60</f>
        <v>0</v>
      </c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3" s="116" customFormat="1" ht="12" customHeight="1" x14ac:dyDescent="0.2">
      <c r="A62" s="478" t="s">
        <v>178</v>
      </c>
      <c r="B62" s="459" t="s">
        <v>303</v>
      </c>
      <c r="C62" s="335">
        <f>'9.1.1. sz. mell ÖNK'!C62+'9.1.2. sz. mell ÖNK'!C62+'9.1.3. sz. mell ÖNK'!C62</f>
        <v>0</v>
      </c>
    </row>
    <row r="63" spans="1:3" s="116" customFormat="1" ht="12" customHeight="1" x14ac:dyDescent="0.2">
      <c r="A63" s="479" t="s">
        <v>179</v>
      </c>
      <c r="B63" s="460" t="s">
        <v>430</v>
      </c>
      <c r="C63" s="335">
        <f>'9.1.1. sz. mell ÖNK'!C63+'9.1.2. sz. mell ÖNK'!C63+'9.1.3. sz. mell ÖNK'!C63</f>
        <v>1810000</v>
      </c>
    </row>
    <row r="64" spans="1:3" s="116" customFormat="1" ht="12" customHeight="1" x14ac:dyDescent="0.2">
      <c r="A64" s="479" t="s">
        <v>227</v>
      </c>
      <c r="B64" s="460" t="s">
        <v>304</v>
      </c>
      <c r="C64" s="335">
        <f>'9.1.1. sz. mell ÖNK'!C64+'9.1.2. sz. mell ÖNK'!C64+'9.1.3. sz. mell ÖNK'!C64</f>
        <v>0</v>
      </c>
    </row>
    <row r="65" spans="1:3" s="116" customFormat="1" ht="12" customHeight="1" thickBot="1" x14ac:dyDescent="0.25">
      <c r="A65" s="480" t="s">
        <v>302</v>
      </c>
      <c r="B65" s="461" t="s">
        <v>305</v>
      </c>
      <c r="C65" s="335">
        <f>'9.1.1. sz. mell ÖNK'!C65+'9.1.2. sz. mell ÖNK'!C65+'9.1.3. sz. mell ÖNK'!C65</f>
        <v>0</v>
      </c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1356712063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f>'9.1.1. sz. mell ÖNK'!C68+'9.1.2. sz. mell ÖNK'!C68+'9.1.3. sz. mell ÖNK'!C68</f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>
        <f>'9.1.1. sz. mell ÖNK'!C69+'9.1.2. sz. mell ÖNK'!C69+'9.1.3. sz. mell ÖNK'!C69</f>
        <v>0</v>
      </c>
    </row>
    <row r="70" spans="1:3" s="116" customFormat="1" ht="12" customHeight="1" thickBot="1" x14ac:dyDescent="0.25">
      <c r="A70" s="480" t="s">
        <v>349</v>
      </c>
      <c r="B70" s="462" t="s">
        <v>311</v>
      </c>
      <c r="C70" s="335">
        <f>'9.1.1. sz. mell ÖNK'!C70+'9.1.2. sz. mell ÖNK'!C70+'9.1.3. sz. mell ÖNK'!C70</f>
        <v>0</v>
      </c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>
        <f>'9.1.1. sz. mell ÖNK'!C72+'9.1.2. sz. mell ÖNK'!C72+'9.1.3. sz. mell ÖNK'!C72</f>
        <v>0</v>
      </c>
    </row>
    <row r="73" spans="1:3" s="116" customFormat="1" ht="12" customHeight="1" x14ac:dyDescent="0.2">
      <c r="A73" s="479" t="s">
        <v>150</v>
      </c>
      <c r="B73" s="460" t="s">
        <v>315</v>
      </c>
      <c r="C73" s="335">
        <f>'9.1.1. sz. mell ÖNK'!C73+'9.1.2. sz. mell ÖNK'!C73+'9.1.3. sz. mell ÖNK'!C73</f>
        <v>0</v>
      </c>
    </row>
    <row r="74" spans="1:3" s="116" customFormat="1" ht="12" customHeight="1" x14ac:dyDescent="0.2">
      <c r="A74" s="479" t="s">
        <v>340</v>
      </c>
      <c r="B74" s="460" t="s">
        <v>316</v>
      </c>
      <c r="C74" s="335">
        <f>'9.1.1. sz. mell ÖNK'!C74+'9.1.2. sz. mell ÖNK'!C74+'9.1.3. sz. mell ÖNK'!C74</f>
        <v>0</v>
      </c>
    </row>
    <row r="75" spans="1:3" s="116" customFormat="1" ht="12" customHeight="1" thickBot="1" x14ac:dyDescent="0.25">
      <c r="A75" s="480" t="s">
        <v>341</v>
      </c>
      <c r="B75" s="461" t="s">
        <v>317</v>
      </c>
      <c r="C75" s="335">
        <f>'9.1.1. sz. mell ÖNK'!C75+'9.1.2. sz. mell ÖNK'!C75+'9.1.3. sz. mell ÖNK'!C75</f>
        <v>0</v>
      </c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679547492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'9.1.1. sz. mell ÖNK'!C77+'9.1.2. sz. mell ÖNK'!C77+'9.1.3. sz. mell ÖNK'!C77</f>
        <v>679547492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>
        <f>'9.1.1. sz. mell ÖNK'!C78+'9.1.2. sz. mell ÖNK'!C78+'9.1.3. sz. mell ÖNK'!C78</f>
        <v>0</v>
      </c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>
        <f>'9.1.1. sz. mell ÖNK'!C80+'9.1.2. sz. mell ÖNK'!C80+'9.1.3. sz. mell ÖNK'!C80</f>
        <v>0</v>
      </c>
    </row>
    <row r="81" spans="1:3" s="116" customFormat="1" ht="12" customHeight="1" x14ac:dyDescent="0.2">
      <c r="A81" s="479" t="s">
        <v>345</v>
      </c>
      <c r="B81" s="460" t="s">
        <v>325</v>
      </c>
      <c r="C81" s="335">
        <f>'9.1.1. sz. mell ÖNK'!C81+'9.1.2. sz. mell ÖNK'!C81+'9.1.3. sz. mell ÖNK'!C81</f>
        <v>0</v>
      </c>
    </row>
    <row r="82" spans="1:3" s="116" customFormat="1" ht="12" customHeight="1" thickBot="1" x14ac:dyDescent="0.25">
      <c r="A82" s="480" t="s">
        <v>346</v>
      </c>
      <c r="B82" s="461" t="s">
        <v>326</v>
      </c>
      <c r="C82" s="335">
        <f>'9.1.1. sz. mell ÖNK'!C82+'9.1.2. sz. mell ÖNK'!C82+'9.1.3. sz. mell ÖNK'!C82</f>
        <v>0</v>
      </c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>
        <f>'9.1.1. sz. mell ÖNK'!C84+'9.1.2. sz. mell ÖNK'!C84+'9.1.3. sz. mell ÖNK'!C84</f>
        <v>0</v>
      </c>
    </row>
    <row r="85" spans="1:3" s="116" customFormat="1" ht="12" customHeight="1" x14ac:dyDescent="0.2">
      <c r="A85" s="483" t="s">
        <v>330</v>
      </c>
      <c r="B85" s="460" t="s">
        <v>331</v>
      </c>
      <c r="C85" s="335">
        <f>'9.1.1. sz. mell ÖNK'!C85+'9.1.2. sz. mell ÖNK'!C85+'9.1.3. sz. mell ÖNK'!C85</f>
        <v>0</v>
      </c>
    </row>
    <row r="86" spans="1:3" s="116" customFormat="1" ht="12" customHeight="1" x14ac:dyDescent="0.2">
      <c r="A86" s="483" t="s">
        <v>332</v>
      </c>
      <c r="B86" s="460" t="s">
        <v>333</v>
      </c>
      <c r="C86" s="335">
        <f>'9.1.1. sz. mell ÖNK'!C86+'9.1.2. sz. mell ÖNK'!C86+'9.1.3. sz. mell ÖNK'!C86</f>
        <v>0</v>
      </c>
    </row>
    <row r="87" spans="1:3" s="115" customFormat="1" ht="12" customHeight="1" thickBot="1" x14ac:dyDescent="0.25">
      <c r="A87" s="484" t="s">
        <v>334</v>
      </c>
      <c r="B87" s="461" t="s">
        <v>335</v>
      </c>
      <c r="C87" s="335">
        <f>'9.1.1. sz. mell ÖNK'!C87+'9.1.2. sz. mell ÖNK'!C87+'9.1.3. sz. mell ÖNK'!C87</f>
        <v>0</v>
      </c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695947492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2052659555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670205018</v>
      </c>
    </row>
    <row r="95" spans="1:3" ht="12" customHeight="1" x14ac:dyDescent="0.2">
      <c r="A95" s="486" t="s">
        <v>99</v>
      </c>
      <c r="B95" s="10" t="s">
        <v>49</v>
      </c>
      <c r="C95" s="578">
        <f>'9.1.1. sz. mell ÖNK'!C95+'9.1.2. sz. mell ÖNK'!C95+'9.1.3. sz. mell ÖNK'!C95</f>
        <v>218584851</v>
      </c>
    </row>
    <row r="96" spans="1:3" ht="12" customHeight="1" x14ac:dyDescent="0.2">
      <c r="A96" s="479" t="s">
        <v>100</v>
      </c>
      <c r="B96" s="8" t="s">
        <v>180</v>
      </c>
      <c r="C96" s="332">
        <f>'9.1.1. sz. mell ÖNK'!C96+'9.1.2. sz. mell ÖNK'!C96+'9.1.3. sz. mell ÖNK'!C96</f>
        <v>28128417</v>
      </c>
    </row>
    <row r="97" spans="1:5" ht="12" customHeight="1" x14ac:dyDescent="0.2">
      <c r="A97" s="479" t="s">
        <v>101</v>
      </c>
      <c r="B97" s="8" t="s">
        <v>141</v>
      </c>
      <c r="C97" s="332">
        <f>'9.1.1. sz. mell ÖNK'!C97+'9.1.2. sz. mell ÖNK'!C97+'9.1.3. sz. mell ÖNK'!C97</f>
        <v>304388159</v>
      </c>
    </row>
    <row r="98" spans="1:5" ht="12" customHeight="1" x14ac:dyDescent="0.2">
      <c r="A98" s="479"/>
      <c r="B98" s="612" t="s">
        <v>644</v>
      </c>
      <c r="C98" s="579">
        <f>+'9.1.1. sz. mell ÖNK'!C98</f>
        <v>2200000</v>
      </c>
    </row>
    <row r="99" spans="1:5" ht="12" customHeight="1" x14ac:dyDescent="0.2">
      <c r="A99" s="479" t="s">
        <v>102</v>
      </c>
      <c r="B99" s="11" t="s">
        <v>181</v>
      </c>
      <c r="C99" s="332">
        <f>'9.1.1. sz. mell ÖNK'!C99+'9.1.2. sz. mell ÖNK'!C98+'9.1.3. sz. mell ÖNK'!C98</f>
        <v>21950000</v>
      </c>
    </row>
    <row r="100" spans="1:5" ht="12" customHeight="1" x14ac:dyDescent="0.2">
      <c r="A100" s="479" t="s">
        <v>113</v>
      </c>
      <c r="B100" s="19" t="s">
        <v>182</v>
      </c>
      <c r="C100" s="579">
        <f>'9.1.1. sz. mell ÖNK'!C100+'9.1.2. sz. mell ÖNK'!C99+'9.1.3. sz. mell ÖNK'!C99</f>
        <v>26630000</v>
      </c>
    </row>
    <row r="101" spans="1:5" ht="12" customHeight="1" x14ac:dyDescent="0.2">
      <c r="A101" s="479" t="s">
        <v>103</v>
      </c>
      <c r="B101" s="8" t="s">
        <v>512</v>
      </c>
      <c r="C101" s="332">
        <f>'9.1.1. sz. mell ÖNK'!C101+'9.1.2. sz. mell ÖNK'!C100+'9.1.3. sz. mell ÖNK'!C100</f>
        <v>0</v>
      </c>
    </row>
    <row r="102" spans="1:5" ht="12" customHeight="1" x14ac:dyDescent="0.2">
      <c r="A102" s="479" t="s">
        <v>104</v>
      </c>
      <c r="B102" s="167" t="s">
        <v>444</v>
      </c>
      <c r="C102" s="579">
        <f>'9.1.1. sz. mell ÖNK'!C102+'9.1.2. sz. mell ÖNK'!C101+'9.1.3. sz. mell ÖNK'!C101</f>
        <v>0</v>
      </c>
    </row>
    <row r="103" spans="1:5" ht="12" customHeight="1" x14ac:dyDescent="0.2">
      <c r="A103" s="479" t="s">
        <v>114</v>
      </c>
      <c r="B103" s="167" t="s">
        <v>443</v>
      </c>
      <c r="C103" s="332">
        <f>'9.1.1. sz. mell ÖNK'!C103+'9.1.2. sz. mell ÖNK'!C102+'9.1.3. sz. mell ÖNK'!C102</f>
        <v>0</v>
      </c>
    </row>
    <row r="104" spans="1:5" ht="12" customHeight="1" x14ac:dyDescent="0.2">
      <c r="A104" s="479" t="s">
        <v>115</v>
      </c>
      <c r="B104" s="167" t="s">
        <v>353</v>
      </c>
      <c r="C104" s="579">
        <f>'9.1.1. sz. mell ÖNK'!C104+'9.1.2. sz. mell ÖNK'!C103+'9.1.3. sz. mell ÖNK'!C103</f>
        <v>0</v>
      </c>
    </row>
    <row r="105" spans="1:5" ht="12" customHeight="1" x14ac:dyDescent="0.2">
      <c r="A105" s="479" t="s">
        <v>116</v>
      </c>
      <c r="B105" s="168" t="s">
        <v>354</v>
      </c>
      <c r="C105" s="332">
        <f>'9.1.1. sz. mell ÖNK'!C105+'9.1.2. sz. mell ÖNK'!C104+'9.1.3. sz. mell ÖNK'!C104</f>
        <v>0</v>
      </c>
    </row>
    <row r="106" spans="1:5" ht="12" customHeight="1" x14ac:dyDescent="0.2">
      <c r="A106" s="479" t="s">
        <v>117</v>
      </c>
      <c r="B106" s="168" t="s">
        <v>355</v>
      </c>
      <c r="C106" s="579">
        <f>'9.1.1. sz. mell ÖNK'!C106+'9.1.2. sz. mell ÖNK'!C105+'9.1.3. sz. mell ÖNK'!C105</f>
        <v>0</v>
      </c>
    </row>
    <row r="107" spans="1:5" ht="12" customHeight="1" x14ac:dyDescent="0.2">
      <c r="A107" s="479" t="s">
        <v>119</v>
      </c>
      <c r="B107" s="167" t="s">
        <v>356</v>
      </c>
      <c r="C107" s="332">
        <f>'9.1.1. sz. mell ÖNK'!C107+'9.1.2. sz. mell ÖNK'!C106+'9.1.3. sz. mell ÖNK'!C106</f>
        <v>1600000</v>
      </c>
    </row>
    <row r="108" spans="1:5" ht="12" customHeight="1" x14ac:dyDescent="0.2">
      <c r="A108" s="479" t="s">
        <v>183</v>
      </c>
      <c r="B108" s="167" t="s">
        <v>357</v>
      </c>
      <c r="C108" s="332">
        <f>'9.1.1. sz. mell ÖNK'!C108+'9.1.2. sz. mell ÖNK'!C107+'9.1.3. sz. mell ÖNK'!C107</f>
        <v>0</v>
      </c>
    </row>
    <row r="109" spans="1:5" ht="12" customHeight="1" x14ac:dyDescent="0.2">
      <c r="A109" s="479" t="s">
        <v>351</v>
      </c>
      <c r="B109" s="168" t="s">
        <v>358</v>
      </c>
      <c r="C109" s="332">
        <f>'9.1.1. sz. mell ÖNK'!C109+'9.1.2. sz. mell ÖNK'!C108+'9.1.3. sz. mell ÖNK'!C108</f>
        <v>0</v>
      </c>
      <c r="E109" s="47">
        <f>C157-C91</f>
        <v>0</v>
      </c>
    </row>
    <row r="110" spans="1:5" ht="12" customHeight="1" x14ac:dyDescent="0.2">
      <c r="A110" s="487" t="s">
        <v>352</v>
      </c>
      <c r="B110" s="169" t="s">
        <v>359</v>
      </c>
      <c r="C110" s="332">
        <f>'9.1.1. sz. mell ÖNK'!C110+'9.1.2. sz. mell ÖNK'!C109+'9.1.3. sz. mell ÖNK'!C109</f>
        <v>0</v>
      </c>
    </row>
    <row r="111" spans="1:5" ht="12" customHeight="1" x14ac:dyDescent="0.2">
      <c r="A111" s="479" t="s">
        <v>441</v>
      </c>
      <c r="B111" s="169" t="s">
        <v>360</v>
      </c>
      <c r="C111" s="332">
        <f>'9.1.1. sz. mell ÖNK'!C111+'9.1.2. sz. mell ÖNK'!C110+'9.1.3. sz. mell ÖNK'!C110</f>
        <v>0</v>
      </c>
    </row>
    <row r="112" spans="1:5" ht="12" customHeight="1" x14ac:dyDescent="0.2">
      <c r="A112" s="479" t="s">
        <v>442</v>
      </c>
      <c r="B112" s="168" t="s">
        <v>361</v>
      </c>
      <c r="C112" s="332">
        <f>'9.1.1. sz. mell ÖNK'!C112+'9.1.2. sz. mell ÖNK'!C111+'9.1.3. sz. mell ÖNK'!C111</f>
        <v>25030000</v>
      </c>
    </row>
    <row r="113" spans="1:3" ht="12" customHeight="1" x14ac:dyDescent="0.2">
      <c r="A113" s="479" t="s">
        <v>446</v>
      </c>
      <c r="B113" s="11" t="s">
        <v>50</v>
      </c>
      <c r="C113" s="332">
        <f>'9.1.1. sz. mell ÖNK'!C113+'9.1.2. sz. mell ÖNK'!C112+'9.1.3. sz. mell ÖNK'!C112</f>
        <v>70523591</v>
      </c>
    </row>
    <row r="114" spans="1:3" ht="12" customHeight="1" x14ac:dyDescent="0.2">
      <c r="A114" s="480" t="s">
        <v>447</v>
      </c>
      <c r="B114" s="8" t="s">
        <v>513</v>
      </c>
      <c r="C114" s="332">
        <f>'9.1.1. sz. mell ÖNK'!C114+'9.1.2. sz. mell ÖNK'!C113+'9.1.3. sz. mell ÖNK'!C113</f>
        <v>0</v>
      </c>
    </row>
    <row r="115" spans="1:3" ht="12" customHeight="1" thickBot="1" x14ac:dyDescent="0.25">
      <c r="A115" s="488" t="s">
        <v>448</v>
      </c>
      <c r="B115" s="170" t="s">
        <v>514</v>
      </c>
      <c r="C115" s="333">
        <f>'9.1.1. sz. mell ÖNK'!C115+'9.1.2. sz. mell ÖNK'!C114+'9.1.3. sz. mell ÖNK'!C114</f>
        <v>70523591</v>
      </c>
    </row>
    <row r="116" spans="1:3" ht="12" customHeight="1" thickBot="1" x14ac:dyDescent="0.25">
      <c r="A116" s="36" t="s">
        <v>19</v>
      </c>
      <c r="B116" s="30" t="s">
        <v>362</v>
      </c>
      <c r="C116" s="330">
        <f>+C117+C119+C121</f>
        <v>855068457</v>
      </c>
    </row>
    <row r="117" spans="1:3" ht="12" customHeight="1" x14ac:dyDescent="0.2">
      <c r="A117" s="478" t="s">
        <v>105</v>
      </c>
      <c r="B117" s="8" t="s">
        <v>225</v>
      </c>
      <c r="C117" s="333">
        <f>'9.1.1. sz. mell ÖNK'!C117+'9.1.2. sz. mell ÖNK'!C116+'9.1.3. sz. mell ÖNK'!C95</f>
        <v>840490158</v>
      </c>
    </row>
    <row r="118" spans="1:3" ht="12" customHeight="1" x14ac:dyDescent="0.2">
      <c r="A118" s="478" t="s">
        <v>106</v>
      </c>
      <c r="B118" s="12" t="s">
        <v>366</v>
      </c>
      <c r="C118" s="333">
        <f>'9.1.1. sz. mell ÖNK'!C118+'9.1.2. sz. mell ÖNK'!C117+'9.1.3. sz. mell ÖNK'!C96</f>
        <v>0</v>
      </c>
    </row>
    <row r="119" spans="1:3" ht="12" customHeight="1" x14ac:dyDescent="0.2">
      <c r="A119" s="478" t="s">
        <v>107</v>
      </c>
      <c r="B119" s="12" t="s">
        <v>184</v>
      </c>
      <c r="C119" s="333">
        <f>'9.1.1. sz. mell ÖNK'!C119+'9.1.2. sz. mell ÖNK'!C118+'9.1.3. sz. mell ÖNK'!C97</f>
        <v>10509250</v>
      </c>
    </row>
    <row r="120" spans="1:3" ht="12" customHeight="1" x14ac:dyDescent="0.2">
      <c r="A120" s="478" t="s">
        <v>108</v>
      </c>
      <c r="B120" s="12" t="s">
        <v>367</v>
      </c>
      <c r="C120" s="333">
        <f>'9.1.1. sz. mell ÖNK'!C120+'9.1.2. sz. mell ÖNK'!C119+'9.1.3. sz. mell ÖNK'!C98</f>
        <v>0</v>
      </c>
    </row>
    <row r="121" spans="1:3" ht="12" customHeight="1" x14ac:dyDescent="0.2">
      <c r="A121" s="478" t="s">
        <v>109</v>
      </c>
      <c r="B121" s="327" t="s">
        <v>228</v>
      </c>
      <c r="C121" s="333">
        <f>'9.1.1. sz. mell ÖNK'!C121+'9.1.2. sz. mell ÖNK'!C120+'9.1.3. sz. mell ÖNK'!C99</f>
        <v>4069049</v>
      </c>
    </row>
    <row r="122" spans="1:3" ht="12" customHeight="1" x14ac:dyDescent="0.2">
      <c r="A122" s="478" t="s">
        <v>118</v>
      </c>
      <c r="B122" s="326" t="s">
        <v>431</v>
      </c>
      <c r="C122" s="333">
        <f>'9.1.1. sz. mell ÖNK'!C122+'9.1.2. sz. mell ÖNK'!C121+'9.1.3. sz. mell ÖNK'!C100</f>
        <v>0</v>
      </c>
    </row>
    <row r="123" spans="1:3" ht="12" customHeight="1" x14ac:dyDescent="0.2">
      <c r="A123" s="478" t="s">
        <v>120</v>
      </c>
      <c r="B123" s="455" t="s">
        <v>372</v>
      </c>
      <c r="C123" s="333">
        <f>'9.1.1. sz. mell ÖNK'!C123+'9.1.2. sz. mell ÖNK'!C122+'9.1.3. sz. mell ÖNK'!C101</f>
        <v>0</v>
      </c>
    </row>
    <row r="124" spans="1:3" ht="12" customHeight="1" x14ac:dyDescent="0.2">
      <c r="A124" s="478" t="s">
        <v>185</v>
      </c>
      <c r="B124" s="168" t="s">
        <v>355</v>
      </c>
      <c r="C124" s="333">
        <f>'9.1.1. sz. mell ÖNK'!C124+'9.1.2. sz. mell ÖNK'!C123+'9.1.3. sz. mell ÖNK'!C102</f>
        <v>0</v>
      </c>
    </row>
    <row r="125" spans="1:3" ht="12" customHeight="1" x14ac:dyDescent="0.2">
      <c r="A125" s="478" t="s">
        <v>186</v>
      </c>
      <c r="B125" s="168" t="s">
        <v>371</v>
      </c>
      <c r="C125" s="333">
        <f>'9.1.1. sz. mell ÖNK'!C125+'9.1.2. sz. mell ÖNK'!C124+'9.1.3. sz. mell ÖNK'!C103</f>
        <v>0</v>
      </c>
    </row>
    <row r="126" spans="1:3" ht="12" customHeight="1" x14ac:dyDescent="0.2">
      <c r="A126" s="478" t="s">
        <v>187</v>
      </c>
      <c r="B126" s="168" t="s">
        <v>370</v>
      </c>
      <c r="C126" s="333">
        <f>'9.1.1. sz. mell ÖNK'!C126+'9.1.2. sz. mell ÖNK'!C125+'9.1.3. sz. mell ÖNK'!C104</f>
        <v>0</v>
      </c>
    </row>
    <row r="127" spans="1:3" ht="12" customHeight="1" x14ac:dyDescent="0.2">
      <c r="A127" s="478" t="s">
        <v>363</v>
      </c>
      <c r="B127" s="168" t="s">
        <v>358</v>
      </c>
      <c r="C127" s="333">
        <f>'9.1.1. sz. mell ÖNK'!C127+'9.1.2. sz. mell ÖNK'!C126+'9.1.3. sz. mell ÖNK'!C105</f>
        <v>0</v>
      </c>
    </row>
    <row r="128" spans="1:3" ht="12" customHeight="1" x14ac:dyDescent="0.2">
      <c r="A128" s="478" t="s">
        <v>364</v>
      </c>
      <c r="B128" s="168" t="s">
        <v>369</v>
      </c>
      <c r="C128" s="333">
        <f>'9.1.1. sz. mell ÖNK'!C128+'9.1.2. sz. mell ÖNK'!C127+'9.1.3. sz. mell ÖNK'!C106</f>
        <v>0</v>
      </c>
    </row>
    <row r="129" spans="1:11" ht="12" customHeight="1" thickBot="1" x14ac:dyDescent="0.25">
      <c r="A129" s="487" t="s">
        <v>365</v>
      </c>
      <c r="B129" s="168" t="s">
        <v>368</v>
      </c>
      <c r="C129" s="333">
        <f>'9.1.1. sz. mell ÖNK'!C129+'9.1.2. sz. mell ÖNK'!C128+'9.1.3. sz. mell ÖNK'!C107</f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1525273475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f>'9.1.1. sz. mell ÖNK'!C132+'9.1.2. sz. mell ÖNK'!C131+'9.1.3. sz. mell ÖNK'!C131</f>
        <v>4272000</v>
      </c>
    </row>
    <row r="133" spans="1:11" ht="12" customHeight="1" x14ac:dyDescent="0.2">
      <c r="A133" s="478" t="s">
        <v>268</v>
      </c>
      <c r="B133" s="9" t="s">
        <v>460</v>
      </c>
      <c r="C133" s="297">
        <f>'9.1.1. sz. mell ÖNK'!C133+'9.1.2. sz. mell ÖNK'!C132+'9.1.3. sz. mell ÖNK'!C132</f>
        <v>0</v>
      </c>
    </row>
    <row r="134" spans="1:11" ht="12" customHeight="1" thickBot="1" x14ac:dyDescent="0.25">
      <c r="A134" s="487" t="s">
        <v>269</v>
      </c>
      <c r="B134" s="7" t="s">
        <v>517</v>
      </c>
      <c r="C134" s="297">
        <f>'9.1.1. sz. mell ÖNK'!C134+'9.1.2. sz. mell ÖNK'!C133+'9.1.3. sz. mell ÖNK'!C133</f>
        <v>0</v>
      </c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>
        <f>'9.1.1. sz. mell ÖNK'!C136+'9.1.2. sz. mell ÖNK'!C135+'9.1.3. sz. mell ÖNK'!C135</f>
        <v>0</v>
      </c>
    </row>
    <row r="137" spans="1:11" ht="12" customHeight="1" x14ac:dyDescent="0.2">
      <c r="A137" s="478" t="s">
        <v>93</v>
      </c>
      <c r="B137" s="9" t="s">
        <v>454</v>
      </c>
      <c r="C137" s="297">
        <f>'9.1.1. sz. mell ÖNK'!C137+'9.1.2. sz. mell ÖNK'!C136+'9.1.3. sz. mell ÖNK'!C136</f>
        <v>0</v>
      </c>
    </row>
    <row r="138" spans="1:11" ht="12" customHeight="1" x14ac:dyDescent="0.2">
      <c r="A138" s="478" t="s">
        <v>94</v>
      </c>
      <c r="B138" s="9" t="s">
        <v>455</v>
      </c>
      <c r="C138" s="297">
        <f>'9.1.1. sz. mell ÖNK'!C138+'9.1.2. sz. mell ÖNK'!C137+'9.1.3. sz. mell ÖNK'!C137</f>
        <v>0</v>
      </c>
    </row>
    <row r="139" spans="1:11" ht="12" customHeight="1" x14ac:dyDescent="0.2">
      <c r="A139" s="478" t="s">
        <v>172</v>
      </c>
      <c r="B139" s="9" t="s">
        <v>516</v>
      </c>
      <c r="C139" s="297">
        <f>'9.1.1. sz. mell ÖNK'!C139+'9.1.2. sz. mell ÖNK'!C138+'9.1.3. sz. mell ÖNK'!C138</f>
        <v>0</v>
      </c>
    </row>
    <row r="140" spans="1:11" ht="12" customHeight="1" x14ac:dyDescent="0.2">
      <c r="A140" s="478" t="s">
        <v>173</v>
      </c>
      <c r="B140" s="9" t="s">
        <v>457</v>
      </c>
      <c r="C140" s="297">
        <f>'9.1.1. sz. mell ÖNK'!C140+'9.1.2. sz. mell ÖNK'!C139+'9.1.3. sz. mell ÖNK'!C139</f>
        <v>0</v>
      </c>
    </row>
    <row r="141" spans="1:11" s="117" customFormat="1" ht="12" customHeight="1" thickBot="1" x14ac:dyDescent="0.25">
      <c r="A141" s="487" t="s">
        <v>174</v>
      </c>
      <c r="B141" s="7" t="s">
        <v>458</v>
      </c>
      <c r="C141" s="297">
        <f>'9.1.1. sz. mell ÖNK'!C141+'9.1.2. sz. mell ÖNK'!C140+'9.1.3. sz. mell ÖNK'!C140</f>
        <v>0</v>
      </c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523114080</v>
      </c>
      <c r="K142" s="279"/>
    </row>
    <row r="143" spans="1:11" x14ac:dyDescent="0.2">
      <c r="A143" s="478" t="s">
        <v>95</v>
      </c>
      <c r="B143" s="9" t="s">
        <v>373</v>
      </c>
      <c r="C143" s="297">
        <f>'9.1.1. sz. mell ÖNK'!C143+'9.1.2. sz. mell ÖNK'!C142+'9.1.3. sz. mell ÖNK'!C142</f>
        <v>0</v>
      </c>
    </row>
    <row r="144" spans="1:11" ht="12" customHeight="1" x14ac:dyDescent="0.2">
      <c r="A144" s="478" t="s">
        <v>96</v>
      </c>
      <c r="B144" s="9" t="s">
        <v>374</v>
      </c>
      <c r="C144" s="297">
        <f>'9.1.1. sz. mell ÖNK'!C144+'9.1.2. sz. mell ÖNK'!C143+'9.1.3. sz. mell ÖNK'!C143</f>
        <v>18607309</v>
      </c>
    </row>
    <row r="145" spans="1:3" ht="12" customHeight="1" x14ac:dyDescent="0.2">
      <c r="A145" s="478" t="s">
        <v>287</v>
      </c>
      <c r="B145" s="9" t="s">
        <v>543</v>
      </c>
      <c r="C145" s="297">
        <f>'9.1.1. sz. mell ÖNK'!C145+'9.1.2. sz. mell ÖNK'!C144+'9.1.3. sz. mell ÖNK'!C144</f>
        <v>503473940</v>
      </c>
    </row>
    <row r="146" spans="1:3" s="117" customFormat="1" ht="12" customHeight="1" x14ac:dyDescent="0.2">
      <c r="A146" s="478" t="s">
        <v>288</v>
      </c>
      <c r="B146" s="9" t="s">
        <v>467</v>
      </c>
      <c r="C146" s="297">
        <f>'9.1.1. sz. mell ÖNK'!C146+'9.1.2. sz. mell ÖNK'!C145+'9.1.3. sz. mell ÖNK'!C145</f>
        <v>0</v>
      </c>
    </row>
    <row r="147" spans="1:3" s="117" customFormat="1" ht="12" customHeight="1" thickBot="1" x14ac:dyDescent="0.25">
      <c r="A147" s="487" t="s">
        <v>289</v>
      </c>
      <c r="B147" s="7" t="s">
        <v>393</v>
      </c>
      <c r="C147" s="297">
        <f>'9.1.1. sz. mell ÖNK'!C147+'9.1.2. sz. mell ÖNK'!C146+'9.1.3. sz. mell ÖNK'!C146</f>
        <v>1032831</v>
      </c>
    </row>
    <row r="148" spans="1:3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3" s="117" customFormat="1" ht="12" customHeight="1" x14ac:dyDescent="0.2">
      <c r="A149" s="478" t="s">
        <v>97</v>
      </c>
      <c r="B149" s="9" t="s">
        <v>463</v>
      </c>
      <c r="C149" s="297">
        <f>'9.1.1. sz. mell ÖNK'!C149+'9.1.2. sz. mell ÖNK'!C148+'9.1.3. sz. mell ÖNK'!C148</f>
        <v>0</v>
      </c>
    </row>
    <row r="150" spans="1:3" s="117" customFormat="1" ht="12" customHeight="1" x14ac:dyDescent="0.2">
      <c r="A150" s="478" t="s">
        <v>98</v>
      </c>
      <c r="B150" s="9" t="s">
        <v>470</v>
      </c>
      <c r="C150" s="297">
        <f>'9.1.1. sz. mell ÖNK'!C150+'9.1.2. sz. mell ÖNK'!C149+'9.1.3. sz. mell ÖNK'!C149</f>
        <v>0</v>
      </c>
    </row>
    <row r="151" spans="1:3" s="117" customFormat="1" ht="12" customHeight="1" x14ac:dyDescent="0.2">
      <c r="A151" s="478" t="s">
        <v>299</v>
      </c>
      <c r="B151" s="9" t="s">
        <v>465</v>
      </c>
      <c r="C151" s="297">
        <f>'9.1.1. sz. mell ÖNK'!C151+'9.1.2. sz. mell ÖNK'!C150+'9.1.3. sz. mell ÖNK'!C150</f>
        <v>0</v>
      </c>
    </row>
    <row r="152" spans="1:3" s="117" customFormat="1" ht="12" customHeight="1" x14ac:dyDescent="0.2">
      <c r="A152" s="478" t="s">
        <v>300</v>
      </c>
      <c r="B152" s="9" t="s">
        <v>519</v>
      </c>
      <c r="C152" s="297">
        <f>'9.1.1. sz. mell ÖNK'!C152+'9.1.2. sz. mell ÖNK'!C151+'9.1.3. sz. mell ÖNK'!C151</f>
        <v>0</v>
      </c>
    </row>
    <row r="153" spans="1:3" ht="12.75" customHeight="1" thickBot="1" x14ac:dyDescent="0.25">
      <c r="A153" s="487" t="s">
        <v>469</v>
      </c>
      <c r="B153" s="7" t="s">
        <v>472</v>
      </c>
      <c r="C153" s="299">
        <f>'9.1.1. sz. mell ÖNK'!C153+'9.1.2. sz. mell ÖNK'!C152+'9.1.3. sz. mell ÖNK'!C152</f>
        <v>0</v>
      </c>
    </row>
    <row r="154" spans="1:3" ht="12.75" customHeight="1" thickBot="1" x14ac:dyDescent="0.25">
      <c r="A154" s="539" t="s">
        <v>25</v>
      </c>
      <c r="B154" s="150" t="s">
        <v>473</v>
      </c>
      <c r="C154" s="581">
        <f>'9.1.1. sz. mell ÖNK'!C154+'9.1.2. sz. mell ÖNK'!C153+'9.1.3. sz. mell ÖNK'!C153</f>
        <v>0</v>
      </c>
    </row>
    <row r="155" spans="1:3" ht="12.75" customHeight="1" thickBot="1" x14ac:dyDescent="0.25">
      <c r="A155" s="580" t="s">
        <v>26</v>
      </c>
      <c r="B155" s="575" t="s">
        <v>474</v>
      </c>
      <c r="C155" s="298">
        <f>'9.1.1. sz. mell ÖNK'!C155+'9.1.2. sz. mell ÖNK'!C154+'9.1.3. sz. mell ÖNK'!C154</f>
        <v>0</v>
      </c>
    </row>
    <row r="156" spans="1:3" ht="12" customHeight="1" thickBot="1" x14ac:dyDescent="0.25">
      <c r="A156" s="36" t="s">
        <v>27</v>
      </c>
      <c r="B156" s="150" t="s">
        <v>476</v>
      </c>
      <c r="C156" s="469">
        <f>+C131+C135+C142+C148+C154+C155</f>
        <v>527386080</v>
      </c>
    </row>
    <row r="157" spans="1:3" ht="15" customHeight="1" thickBot="1" x14ac:dyDescent="0.25">
      <c r="A157" s="489" t="s">
        <v>28</v>
      </c>
      <c r="B157" s="421" t="s">
        <v>475</v>
      </c>
      <c r="C157" s="469">
        <f>+C130+C156</f>
        <v>2052659555</v>
      </c>
    </row>
    <row r="158" spans="1:3" ht="13.5" thickBot="1" x14ac:dyDescent="0.25">
      <c r="A158" s="429"/>
      <c r="B158" s="430"/>
      <c r="C158" s="431"/>
    </row>
    <row r="159" spans="1:3" ht="15" customHeight="1" thickBot="1" x14ac:dyDescent="0.25">
      <c r="A159" s="276" t="s">
        <v>520</v>
      </c>
      <c r="B159" s="277"/>
      <c r="C159" s="147">
        <f>'9.1.1. sz. mell ÖNK'!C159+'9.1.2. sz. mell ÖNK'!C158+'9.1.3. sz. mell ÖNK'!C158</f>
        <v>11</v>
      </c>
    </row>
    <row r="160" spans="1:3" ht="14.25" customHeight="1" thickBot="1" x14ac:dyDescent="0.25">
      <c r="A160" s="276" t="s">
        <v>203</v>
      </c>
      <c r="B160" s="277"/>
      <c r="C160" s="147">
        <f>'9.1.1. sz. mell ÖNK'!C160+'9.1.2. sz. mell ÖNK'!C159+'9.1.3. sz. mell ÖNK'!C159</f>
        <v>424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zoomScaleNormal="100" zoomScaleSheetLayoutView="130" workbookViewId="0">
      <selection activeCell="C2" sqref="C2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4" width="12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54"/>
      <c r="B1" s="256"/>
      <c r="C1" s="278" t="str">
        <f>+CONCATENATE("9.1.1. melléklet a 4/",LEFT(ÖSSZEFÜGGÉSEK!A5,4),". (II. 20.) önkormányzati rendelethez")</f>
        <v>9.1.1. melléklet a 4/2018. (II. 20.) önkormányzati rendelethez</v>
      </c>
    </row>
    <row r="2" spans="1:5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5" s="113" customFormat="1" ht="16.5" thickBot="1" x14ac:dyDescent="0.25">
      <c r="A3" s="257" t="s">
        <v>200</v>
      </c>
      <c r="B3" s="392" t="s">
        <v>432</v>
      </c>
      <c r="C3" s="538" t="s">
        <v>54</v>
      </c>
    </row>
    <row r="4" spans="1:5" s="114" customFormat="1" ht="15.95" customHeight="1" thickBot="1" x14ac:dyDescent="0.3">
      <c r="A4" s="258"/>
      <c r="B4" s="258"/>
      <c r="C4" s="259" t="s">
        <v>577</v>
      </c>
    </row>
    <row r="5" spans="1:5" ht="13.5" thickBot="1" x14ac:dyDescent="0.25">
      <c r="A5" s="450" t="s">
        <v>202</v>
      </c>
      <c r="B5" s="260" t="s">
        <v>566</v>
      </c>
      <c r="C5" s="394" t="s">
        <v>670</v>
      </c>
    </row>
    <row r="6" spans="1:5" s="75" customFormat="1" ht="12.95" customHeight="1" thickBot="1" x14ac:dyDescent="0.25">
      <c r="A6" s="223"/>
      <c r="B6" s="224" t="s">
        <v>495</v>
      </c>
      <c r="C6" s="225" t="s">
        <v>496</v>
      </c>
    </row>
    <row r="7" spans="1:5" s="75" customFormat="1" ht="15.95" customHeight="1" thickBot="1" x14ac:dyDescent="0.25">
      <c r="A7" s="261"/>
      <c r="B7" s="262" t="s">
        <v>56</v>
      </c>
      <c r="C7" s="395"/>
    </row>
    <row r="8" spans="1:5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540934975</v>
      </c>
    </row>
    <row r="9" spans="1:5" s="115" customFormat="1" ht="12" customHeight="1" x14ac:dyDescent="0.2">
      <c r="A9" s="478" t="s">
        <v>99</v>
      </c>
      <c r="B9" s="459" t="s">
        <v>252</v>
      </c>
      <c r="C9" s="333">
        <v>202192087</v>
      </c>
    </row>
    <row r="10" spans="1:5" s="116" customFormat="1" ht="12" customHeight="1" x14ac:dyDescent="0.2">
      <c r="A10" s="479" t="s">
        <v>100</v>
      </c>
      <c r="B10" s="460" t="s">
        <v>253</v>
      </c>
      <c r="C10" s="332">
        <f>108141117-2945084</f>
        <v>105196033</v>
      </c>
    </row>
    <row r="11" spans="1:5" s="116" customFormat="1" ht="12" customHeight="1" x14ac:dyDescent="0.2">
      <c r="A11" s="479" t="s">
        <v>101</v>
      </c>
      <c r="B11" s="460" t="s">
        <v>553</v>
      </c>
      <c r="C11" s="332">
        <f>183323380+8426024</f>
        <v>191749404</v>
      </c>
    </row>
    <row r="12" spans="1:5" s="116" customFormat="1" ht="12" customHeight="1" x14ac:dyDescent="0.2">
      <c r="A12" s="479" t="s">
        <v>102</v>
      </c>
      <c r="B12" s="460" t="s">
        <v>255</v>
      </c>
      <c r="C12" s="332">
        <f>8453060+1535336</f>
        <v>9988396</v>
      </c>
      <c r="E12" s="611">
        <f>SUM(E13:E15)+E17</f>
        <v>215569973</v>
      </c>
    </row>
    <row r="13" spans="1:5" s="116" customFormat="1" ht="12" customHeight="1" x14ac:dyDescent="0.2">
      <c r="A13" s="479" t="s">
        <v>148</v>
      </c>
      <c r="B13" s="460" t="s">
        <v>507</v>
      </c>
      <c r="C13" s="332">
        <f>1809055+30000000</f>
        <v>31809055</v>
      </c>
      <c r="D13" s="586" t="s">
        <v>585</v>
      </c>
      <c r="E13" s="585">
        <v>4160000</v>
      </c>
    </row>
    <row r="14" spans="1:5" s="115" customFormat="1" ht="12" customHeight="1" thickBot="1" x14ac:dyDescent="0.25">
      <c r="A14" s="480" t="s">
        <v>103</v>
      </c>
      <c r="B14" s="461" t="s">
        <v>436</v>
      </c>
      <c r="C14" s="332"/>
      <c r="D14" s="586" t="s">
        <v>586</v>
      </c>
      <c r="E14" s="585"/>
    </row>
    <row r="15" spans="1:5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276396027</v>
      </c>
      <c r="D15" s="586" t="s">
        <v>587</v>
      </c>
      <c r="E15" s="585">
        <f>165666092+45124681</f>
        <v>210790773</v>
      </c>
    </row>
    <row r="16" spans="1:5" s="115" customFormat="1" ht="12" customHeight="1" x14ac:dyDescent="0.2">
      <c r="A16" s="478" t="s">
        <v>105</v>
      </c>
      <c r="B16" s="459" t="s">
        <v>257</v>
      </c>
      <c r="C16" s="333"/>
      <c r="D16" s="586" t="s">
        <v>711</v>
      </c>
      <c r="E16" s="585">
        <v>60826054</v>
      </c>
    </row>
    <row r="17" spans="1:6" s="115" customFormat="1" ht="12" customHeight="1" x14ac:dyDescent="0.2">
      <c r="A17" s="479" t="s">
        <v>106</v>
      </c>
      <c r="B17" s="460" t="s">
        <v>258</v>
      </c>
      <c r="C17" s="332"/>
      <c r="D17" s="116" t="s">
        <v>588</v>
      </c>
      <c r="E17" s="585">
        <v>619200</v>
      </c>
    </row>
    <row r="18" spans="1:6" s="115" customFormat="1" ht="12" customHeight="1" x14ac:dyDescent="0.2">
      <c r="A18" s="479" t="s">
        <v>107</v>
      </c>
      <c r="B18" s="460" t="s">
        <v>425</v>
      </c>
      <c r="C18" s="332"/>
      <c r="E18" s="585"/>
    </row>
    <row r="19" spans="1:6" s="115" customFormat="1" ht="12" customHeight="1" x14ac:dyDescent="0.2">
      <c r="A19" s="479" t="s">
        <v>108</v>
      </c>
      <c r="B19" s="460" t="s">
        <v>426</v>
      </c>
      <c r="C19" s="332"/>
      <c r="E19" s="587"/>
    </row>
    <row r="20" spans="1:6" s="115" customFormat="1" ht="12" customHeight="1" x14ac:dyDescent="0.2">
      <c r="A20" s="479" t="s">
        <v>109</v>
      </c>
      <c r="B20" s="460" t="s">
        <v>259</v>
      </c>
      <c r="C20" s="332">
        <f>+C21+E12</f>
        <v>276396027</v>
      </c>
      <c r="D20" s="586" t="s">
        <v>637</v>
      </c>
      <c r="E20" s="585">
        <v>1535336</v>
      </c>
    </row>
    <row r="21" spans="1:6" s="116" customFormat="1" ht="12" customHeight="1" thickBot="1" x14ac:dyDescent="0.25">
      <c r="A21" s="480" t="s">
        <v>118</v>
      </c>
      <c r="B21" s="461" t="s">
        <v>260</v>
      </c>
      <c r="C21" s="334">
        <v>60826054</v>
      </c>
      <c r="D21" s="610" t="s">
        <v>638</v>
      </c>
      <c r="E21" s="585">
        <v>8426024</v>
      </c>
      <c r="F21" s="611">
        <f>+E20+E21+E22</f>
        <v>11770415</v>
      </c>
    </row>
    <row r="22" spans="1:6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319680797</v>
      </c>
      <c r="D22" s="116" t="s">
        <v>639</v>
      </c>
      <c r="E22" s="585">
        <v>1809055</v>
      </c>
    </row>
    <row r="23" spans="1:6" s="116" customFormat="1" ht="12" customHeight="1" x14ac:dyDescent="0.2">
      <c r="A23" s="478" t="s">
        <v>88</v>
      </c>
      <c r="B23" s="459" t="s">
        <v>262</v>
      </c>
      <c r="C23" s="333"/>
      <c r="E23" s="611">
        <f>SUM(E19:E22)</f>
        <v>11770415</v>
      </c>
    </row>
    <row r="24" spans="1:6" s="115" customFormat="1" ht="12" customHeight="1" x14ac:dyDescent="0.2">
      <c r="A24" s="479" t="s">
        <v>89</v>
      </c>
      <c r="B24" s="460" t="s">
        <v>263</v>
      </c>
      <c r="C24" s="332"/>
      <c r="D24" s="586" t="s">
        <v>641</v>
      </c>
      <c r="E24" s="585">
        <f>69337548+18143148</f>
        <v>87480696</v>
      </c>
    </row>
    <row r="25" spans="1:6" s="116" customFormat="1" ht="12" customHeight="1" x14ac:dyDescent="0.2">
      <c r="A25" s="479" t="s">
        <v>90</v>
      </c>
      <c r="B25" s="460" t="s">
        <v>427</v>
      </c>
      <c r="C25" s="332"/>
      <c r="E25" s="611">
        <f>E23+E24</f>
        <v>99251111</v>
      </c>
    </row>
    <row r="26" spans="1:6" s="116" customFormat="1" ht="12" customHeight="1" x14ac:dyDescent="0.2">
      <c r="A26" s="479" t="s">
        <v>91</v>
      </c>
      <c r="B26" s="460" t="s">
        <v>428</v>
      </c>
      <c r="C26" s="332"/>
    </row>
    <row r="27" spans="1:6" s="116" customFormat="1" ht="12" customHeight="1" x14ac:dyDescent="0.2">
      <c r="A27" s="479" t="s">
        <v>168</v>
      </c>
      <c r="B27" s="460" t="s">
        <v>264</v>
      </c>
      <c r="C27" s="332">
        <f>C28</f>
        <v>319680797</v>
      </c>
    </row>
    <row r="28" spans="1:6" s="116" customFormat="1" ht="12" customHeight="1" thickBot="1" x14ac:dyDescent="0.25">
      <c r="A28" s="480" t="s">
        <v>169</v>
      </c>
      <c r="B28" s="461" t="s">
        <v>265</v>
      </c>
      <c r="C28" s="334">
        <v>319680797</v>
      </c>
    </row>
    <row r="29" spans="1:6" s="116" customFormat="1" ht="12" customHeight="1" thickBot="1" x14ac:dyDescent="0.25">
      <c r="A29" s="36" t="s">
        <v>170</v>
      </c>
      <c r="B29" s="21" t="s">
        <v>563</v>
      </c>
      <c r="C29" s="336">
        <f>SUM(C30:C37)</f>
        <v>105070074</v>
      </c>
    </row>
    <row r="30" spans="1:6" s="116" customFormat="1" ht="12" customHeight="1" x14ac:dyDescent="0.2">
      <c r="A30" s="478" t="s">
        <v>267</v>
      </c>
      <c r="B30" s="459" t="s">
        <v>558</v>
      </c>
      <c r="C30" s="333"/>
    </row>
    <row r="31" spans="1:6" s="116" customFormat="1" ht="12" customHeight="1" x14ac:dyDescent="0.2">
      <c r="A31" s="479" t="s">
        <v>268</v>
      </c>
      <c r="B31" s="460" t="s">
        <v>559</v>
      </c>
      <c r="C31" s="332">
        <v>15000</v>
      </c>
    </row>
    <row r="32" spans="1:6" s="116" customFormat="1" ht="12" customHeight="1" x14ac:dyDescent="0.2">
      <c r="A32" s="479" t="s">
        <v>269</v>
      </c>
      <c r="B32" s="460" t="s">
        <v>712</v>
      </c>
      <c r="C32" s="332">
        <v>14000000</v>
      </c>
    </row>
    <row r="33" spans="1:6" s="116" customFormat="1" ht="12" customHeight="1" x14ac:dyDescent="0.2">
      <c r="A33" s="479" t="s">
        <v>270</v>
      </c>
      <c r="B33" s="460" t="s">
        <v>560</v>
      </c>
      <c r="C33" s="332">
        <f>80000000-3354926</f>
        <v>76645074</v>
      </c>
    </row>
    <row r="34" spans="1:6" s="116" customFormat="1" ht="12" customHeight="1" x14ac:dyDescent="0.2">
      <c r="A34" s="479" t="s">
        <v>555</v>
      </c>
      <c r="B34" s="460" t="s">
        <v>561</v>
      </c>
      <c r="C34" s="332">
        <v>10000</v>
      </c>
      <c r="D34" s="116" t="s">
        <v>598</v>
      </c>
      <c r="E34" s="584">
        <v>500000</v>
      </c>
    </row>
    <row r="35" spans="1:6" s="116" customFormat="1" ht="12" customHeight="1" x14ac:dyDescent="0.2">
      <c r="A35" s="479" t="s">
        <v>556</v>
      </c>
      <c r="B35" s="460" t="s">
        <v>271</v>
      </c>
      <c r="C35" s="332">
        <v>13000000</v>
      </c>
      <c r="D35" s="116" t="s">
        <v>636</v>
      </c>
      <c r="E35" s="584"/>
    </row>
    <row r="36" spans="1:6" s="116" customFormat="1" ht="12" customHeight="1" x14ac:dyDescent="0.2">
      <c r="A36" s="480" t="s">
        <v>557</v>
      </c>
      <c r="B36" s="460" t="s">
        <v>272</v>
      </c>
      <c r="C36" s="332"/>
      <c r="D36" s="116" t="s">
        <v>595</v>
      </c>
      <c r="E36" s="584"/>
    </row>
    <row r="37" spans="1:6" s="116" customFormat="1" ht="12" customHeight="1" thickBot="1" x14ac:dyDescent="0.25">
      <c r="A37" s="480" t="s">
        <v>713</v>
      </c>
      <c r="B37" s="564" t="s">
        <v>273</v>
      </c>
      <c r="C37" s="334">
        <v>1400000</v>
      </c>
      <c r="D37" s="116" t="s">
        <v>596</v>
      </c>
      <c r="E37" s="584">
        <v>400000</v>
      </c>
    </row>
    <row r="38" spans="1:6" s="116" customFormat="1" ht="12" customHeight="1" thickBot="1" x14ac:dyDescent="0.25">
      <c r="A38" s="36" t="s">
        <v>22</v>
      </c>
      <c r="B38" s="21" t="s">
        <v>437</v>
      </c>
      <c r="C38" s="330">
        <f>SUM(C39:C49)</f>
        <v>32576954</v>
      </c>
      <c r="D38" s="116" t="s">
        <v>597</v>
      </c>
      <c r="E38" s="584">
        <v>500000</v>
      </c>
    </row>
    <row r="39" spans="1:6" s="116" customFormat="1" ht="12" customHeight="1" x14ac:dyDescent="0.2">
      <c r="A39" s="478" t="s">
        <v>92</v>
      </c>
      <c r="B39" s="459" t="s">
        <v>276</v>
      </c>
      <c r="C39" s="333"/>
      <c r="D39" s="116" t="s">
        <v>599</v>
      </c>
    </row>
    <row r="40" spans="1:6" s="116" customFormat="1" ht="12" customHeight="1" x14ac:dyDescent="0.2">
      <c r="A40" s="479" t="s">
        <v>93</v>
      </c>
      <c r="B40" s="460" t="s">
        <v>277</v>
      </c>
      <c r="C40" s="332">
        <v>10086055</v>
      </c>
      <c r="D40" s="116" t="s">
        <v>600</v>
      </c>
      <c r="E40" s="584">
        <v>8300000</v>
      </c>
    </row>
    <row r="41" spans="1:6" s="116" customFormat="1" ht="12" customHeight="1" x14ac:dyDescent="0.2">
      <c r="A41" s="479" t="s">
        <v>94</v>
      </c>
      <c r="B41" s="460" t="s">
        <v>278</v>
      </c>
      <c r="C41" s="332">
        <v>2800000</v>
      </c>
    </row>
    <row r="42" spans="1:6" s="116" customFormat="1" ht="12" customHeight="1" x14ac:dyDescent="0.2">
      <c r="A42" s="479" t="s">
        <v>172</v>
      </c>
      <c r="B42" s="460" t="s">
        <v>279</v>
      </c>
      <c r="C42" s="332"/>
    </row>
    <row r="43" spans="1:6" s="116" customFormat="1" ht="12" customHeight="1" x14ac:dyDescent="0.2">
      <c r="A43" s="479" t="s">
        <v>173</v>
      </c>
      <c r="B43" s="460" t="s">
        <v>280</v>
      </c>
      <c r="C43" s="332"/>
    </row>
    <row r="44" spans="1:6" s="116" customFormat="1" ht="12" customHeight="1" x14ac:dyDescent="0.2">
      <c r="A44" s="479" t="s">
        <v>174</v>
      </c>
      <c r="B44" s="460" t="s">
        <v>281</v>
      </c>
      <c r="C44" s="332">
        <f>617235+19073664</f>
        <v>19690899</v>
      </c>
    </row>
    <row r="45" spans="1:6" s="116" customFormat="1" ht="12" customHeight="1" x14ac:dyDescent="0.2">
      <c r="A45" s="479" t="s">
        <v>175</v>
      </c>
      <c r="B45" s="460" t="s">
        <v>282</v>
      </c>
      <c r="C45" s="332"/>
      <c r="E45" s="116" t="s">
        <v>601</v>
      </c>
    </row>
    <row r="46" spans="1:6" s="116" customFormat="1" ht="12" customHeight="1" x14ac:dyDescent="0.2">
      <c r="A46" s="479" t="s">
        <v>176</v>
      </c>
      <c r="B46" s="460" t="s">
        <v>562</v>
      </c>
      <c r="C46" s="332"/>
      <c r="E46" s="116" t="s">
        <v>602</v>
      </c>
      <c r="F46" s="584">
        <v>1786055</v>
      </c>
    </row>
    <row r="47" spans="1:6" s="116" customFormat="1" ht="12" customHeight="1" x14ac:dyDescent="0.2">
      <c r="A47" s="479" t="s">
        <v>274</v>
      </c>
      <c r="B47" s="460" t="s">
        <v>284</v>
      </c>
      <c r="C47" s="335"/>
      <c r="E47" s="116" t="s">
        <v>600</v>
      </c>
      <c r="F47" s="584">
        <v>8300000</v>
      </c>
    </row>
    <row r="48" spans="1:6" s="116" customFormat="1" ht="12" customHeight="1" x14ac:dyDescent="0.2">
      <c r="A48" s="480" t="s">
        <v>275</v>
      </c>
      <c r="B48" s="461" t="s">
        <v>439</v>
      </c>
      <c r="C48" s="445"/>
      <c r="E48" s="116" t="s">
        <v>714</v>
      </c>
      <c r="F48" s="584">
        <v>500000</v>
      </c>
    </row>
    <row r="49" spans="1:6" s="116" customFormat="1" ht="12" customHeight="1" thickBot="1" x14ac:dyDescent="0.25">
      <c r="A49" s="480" t="s">
        <v>438</v>
      </c>
      <c r="B49" s="461" t="s">
        <v>285</v>
      </c>
      <c r="C49" s="445"/>
      <c r="E49" s="116" t="s">
        <v>603</v>
      </c>
      <c r="F49" s="584"/>
    </row>
    <row r="50" spans="1:6" s="116" customFormat="1" ht="12" customHeight="1" thickBot="1" x14ac:dyDescent="0.25">
      <c r="A50" s="36" t="s">
        <v>23</v>
      </c>
      <c r="B50" s="21" t="s">
        <v>286</v>
      </c>
      <c r="C50" s="330">
        <f>SUM(C51:C55)</f>
        <v>70643198</v>
      </c>
      <c r="F50" s="584"/>
    </row>
    <row r="51" spans="1:6" s="116" customFormat="1" ht="12" customHeight="1" x14ac:dyDescent="0.2">
      <c r="A51" s="478" t="s">
        <v>95</v>
      </c>
      <c r="B51" s="459" t="s">
        <v>290</v>
      </c>
      <c r="C51" s="504"/>
      <c r="F51" s="584"/>
    </row>
    <row r="52" spans="1:6" s="116" customFormat="1" ht="12" customHeight="1" x14ac:dyDescent="0.2">
      <c r="A52" s="479" t="s">
        <v>96</v>
      </c>
      <c r="B52" s="460" t="s">
        <v>291</v>
      </c>
      <c r="C52" s="335">
        <v>70643198</v>
      </c>
    </row>
    <row r="53" spans="1:6" s="116" customFormat="1" ht="12" customHeight="1" x14ac:dyDescent="0.2">
      <c r="A53" s="479" t="s">
        <v>287</v>
      </c>
      <c r="B53" s="460" t="s">
        <v>292</v>
      </c>
      <c r="C53" s="335">
        <v>0</v>
      </c>
    </row>
    <row r="54" spans="1:6" s="116" customFormat="1" ht="12" customHeight="1" x14ac:dyDescent="0.2">
      <c r="A54" s="479" t="s">
        <v>288</v>
      </c>
      <c r="B54" s="460" t="s">
        <v>293</v>
      </c>
      <c r="C54" s="335"/>
    </row>
    <row r="55" spans="1:6" s="116" customFormat="1" ht="12" customHeight="1" thickBot="1" x14ac:dyDescent="0.25">
      <c r="A55" s="480" t="s">
        <v>289</v>
      </c>
      <c r="B55" s="461" t="s">
        <v>294</v>
      </c>
      <c r="C55" s="445"/>
    </row>
    <row r="56" spans="1:6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6" s="116" customFormat="1" ht="12" customHeight="1" x14ac:dyDescent="0.2">
      <c r="A57" s="478" t="s">
        <v>97</v>
      </c>
      <c r="B57" s="459" t="s">
        <v>296</v>
      </c>
      <c r="C57" s="333"/>
    </row>
    <row r="58" spans="1:6" s="116" customFormat="1" ht="12" customHeight="1" x14ac:dyDescent="0.2">
      <c r="A58" s="479" t="s">
        <v>98</v>
      </c>
      <c r="B58" s="460" t="s">
        <v>429</v>
      </c>
      <c r="C58" s="332"/>
    </row>
    <row r="59" spans="1:6" s="116" customFormat="1" ht="12" customHeight="1" x14ac:dyDescent="0.2">
      <c r="A59" s="479" t="s">
        <v>299</v>
      </c>
      <c r="B59" s="460" t="s">
        <v>297</v>
      </c>
      <c r="C59" s="332"/>
    </row>
    <row r="60" spans="1:6" s="116" customFormat="1" ht="12" customHeight="1" thickBot="1" x14ac:dyDescent="0.25">
      <c r="A60" s="480" t="s">
        <v>300</v>
      </c>
      <c r="B60" s="461" t="s">
        <v>298</v>
      </c>
      <c r="C60" s="334"/>
    </row>
    <row r="61" spans="1:6" s="116" customFormat="1" ht="12" customHeight="1" thickBot="1" x14ac:dyDescent="0.25">
      <c r="A61" s="36" t="s">
        <v>25</v>
      </c>
      <c r="B61" s="325" t="s">
        <v>301</v>
      </c>
      <c r="C61" s="330">
        <f>SUM(C62:C64)</f>
        <v>1810000</v>
      </c>
    </row>
    <row r="62" spans="1:6" s="116" customFormat="1" ht="12" customHeight="1" x14ac:dyDescent="0.2">
      <c r="A62" s="478" t="s">
        <v>178</v>
      </c>
      <c r="B62" s="459" t="s">
        <v>303</v>
      </c>
      <c r="C62" s="335"/>
    </row>
    <row r="63" spans="1:6" s="116" customFormat="1" ht="12" customHeight="1" x14ac:dyDescent="0.2">
      <c r="A63" s="479" t="s">
        <v>179</v>
      </c>
      <c r="B63" s="460" t="s">
        <v>430</v>
      </c>
      <c r="C63" s="335">
        <v>1810000</v>
      </c>
    </row>
    <row r="64" spans="1:6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1347112025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16400000</v>
      </c>
    </row>
    <row r="68" spans="1:3" s="116" customFormat="1" ht="12" customHeight="1" x14ac:dyDescent="0.2">
      <c r="A68" s="478" t="s">
        <v>339</v>
      </c>
      <c r="B68" s="459" t="s">
        <v>309</v>
      </c>
      <c r="C68" s="335">
        <v>16400000</v>
      </c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679547492</v>
      </c>
    </row>
    <row r="77" spans="1:3" s="116" customFormat="1" ht="12" customHeight="1" x14ac:dyDescent="0.2">
      <c r="A77" s="478" t="s">
        <v>342</v>
      </c>
      <c r="B77" s="459" t="s">
        <v>320</v>
      </c>
      <c r="C77" s="335">
        <f>517166086+62523591+103332309+9437800-12912294</f>
        <v>679547492</v>
      </c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695947492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2043059517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+C95+C96+C97+C99+C100+C113</f>
        <v>660604980</v>
      </c>
    </row>
    <row r="95" spans="1:3" ht="12" customHeight="1" x14ac:dyDescent="0.2">
      <c r="A95" s="486" t="s">
        <v>99</v>
      </c>
      <c r="B95" s="10" t="s">
        <v>49</v>
      </c>
      <c r="C95" s="331">
        <f>218584851-5668450-200000</f>
        <v>212716401</v>
      </c>
    </row>
    <row r="96" spans="1:3" ht="12" customHeight="1" x14ac:dyDescent="0.2">
      <c r="A96" s="479" t="s">
        <v>100</v>
      </c>
      <c r="B96" s="8" t="s">
        <v>180</v>
      </c>
      <c r="C96" s="332">
        <f>28128417-1116588-39000</f>
        <v>26972829</v>
      </c>
    </row>
    <row r="97" spans="1:5" ht="12" customHeight="1" x14ac:dyDescent="0.2">
      <c r="A97" s="479" t="s">
        <v>101</v>
      </c>
      <c r="B97" s="8" t="s">
        <v>141</v>
      </c>
      <c r="C97" s="334">
        <f>302888159-2576000+1500000</f>
        <v>301812159</v>
      </c>
    </row>
    <row r="98" spans="1:5" ht="12" customHeight="1" x14ac:dyDescent="0.2">
      <c r="A98" s="479"/>
      <c r="B98" s="612" t="s">
        <v>644</v>
      </c>
      <c r="C98" s="334">
        <v>2200000</v>
      </c>
    </row>
    <row r="99" spans="1:5" ht="12" customHeight="1" x14ac:dyDescent="0.2">
      <c r="A99" s="479" t="s">
        <v>102</v>
      </c>
      <c r="B99" s="11" t="s">
        <v>181</v>
      </c>
      <c r="C99" s="334">
        <v>21950000</v>
      </c>
    </row>
    <row r="100" spans="1:5" ht="12" customHeight="1" x14ac:dyDescent="0.2">
      <c r="A100" s="479" t="s">
        <v>113</v>
      </c>
      <c r="B100" s="19" t="s">
        <v>182</v>
      </c>
      <c r="C100" s="334">
        <f>+C107+C112</f>
        <v>26630000</v>
      </c>
    </row>
    <row r="101" spans="1:5" ht="12" customHeight="1" x14ac:dyDescent="0.2">
      <c r="A101" s="479" t="s">
        <v>103</v>
      </c>
      <c r="B101" s="8" t="s">
        <v>512</v>
      </c>
      <c r="C101" s="334"/>
    </row>
    <row r="102" spans="1:5" ht="12" customHeight="1" x14ac:dyDescent="0.2">
      <c r="A102" s="479" t="s">
        <v>104</v>
      </c>
      <c r="B102" s="167" t="s">
        <v>444</v>
      </c>
      <c r="C102" s="334"/>
    </row>
    <row r="103" spans="1:5" ht="12" customHeight="1" x14ac:dyDescent="0.2">
      <c r="A103" s="479" t="s">
        <v>114</v>
      </c>
      <c r="B103" s="167" t="s">
        <v>443</v>
      </c>
      <c r="C103" s="334"/>
    </row>
    <row r="104" spans="1:5" ht="12" customHeight="1" x14ac:dyDescent="0.2">
      <c r="A104" s="479" t="s">
        <v>115</v>
      </c>
      <c r="B104" s="167" t="s">
        <v>353</v>
      </c>
      <c r="C104" s="334"/>
      <c r="E104" s="588"/>
    </row>
    <row r="105" spans="1:5" ht="12" customHeight="1" x14ac:dyDescent="0.2">
      <c r="A105" s="479" t="s">
        <v>116</v>
      </c>
      <c r="B105" s="168" t="s">
        <v>354</v>
      </c>
      <c r="C105" s="334"/>
      <c r="D105" s="3" t="s">
        <v>604</v>
      </c>
      <c r="E105" s="588"/>
    </row>
    <row r="106" spans="1:5" ht="12" customHeight="1" x14ac:dyDescent="0.2">
      <c r="A106" s="479" t="s">
        <v>117</v>
      </c>
      <c r="B106" s="168" t="s">
        <v>355</v>
      </c>
      <c r="C106" s="334"/>
      <c r="D106" s="3" t="s">
        <v>593</v>
      </c>
      <c r="E106" s="588">
        <v>100000</v>
      </c>
    </row>
    <row r="107" spans="1:5" ht="12" customHeight="1" x14ac:dyDescent="0.2">
      <c r="A107" s="479" t="s">
        <v>119</v>
      </c>
      <c r="B107" s="167" t="s">
        <v>356</v>
      </c>
      <c r="C107" s="334">
        <v>1600000</v>
      </c>
      <c r="D107" s="3" t="s">
        <v>589</v>
      </c>
      <c r="E107" s="588">
        <v>1500000</v>
      </c>
    </row>
    <row r="108" spans="1:5" ht="12" customHeight="1" x14ac:dyDescent="0.2">
      <c r="A108" s="479" t="s">
        <v>183</v>
      </c>
      <c r="B108" s="167" t="s">
        <v>357</v>
      </c>
      <c r="C108" s="334"/>
      <c r="E108" s="588"/>
    </row>
    <row r="109" spans="1:5" ht="12" customHeight="1" x14ac:dyDescent="0.2">
      <c r="A109" s="479" t="s">
        <v>351</v>
      </c>
      <c r="B109" s="168" t="s">
        <v>358</v>
      </c>
      <c r="C109" s="334"/>
      <c r="E109" s="588"/>
    </row>
    <row r="110" spans="1:5" ht="12" customHeight="1" x14ac:dyDescent="0.2">
      <c r="A110" s="487" t="s">
        <v>352</v>
      </c>
      <c r="B110" s="169" t="s">
        <v>359</v>
      </c>
      <c r="C110" s="334"/>
      <c r="E110" s="588"/>
    </row>
    <row r="111" spans="1:5" ht="12" customHeight="1" x14ac:dyDescent="0.2">
      <c r="A111" s="479" t="s">
        <v>441</v>
      </c>
      <c r="B111" s="169" t="s">
        <v>360</v>
      </c>
      <c r="C111" s="334"/>
      <c r="E111" s="588"/>
    </row>
    <row r="112" spans="1:5" ht="12" customHeight="1" x14ac:dyDescent="0.2">
      <c r="A112" s="479" t="s">
        <v>442</v>
      </c>
      <c r="B112" s="168" t="s">
        <v>361</v>
      </c>
      <c r="C112" s="332">
        <f>19530000+5500000</f>
        <v>25030000</v>
      </c>
      <c r="D112" s="3" t="s">
        <v>590</v>
      </c>
      <c r="E112" s="588">
        <v>3000000</v>
      </c>
    </row>
    <row r="113" spans="1:5" ht="12" customHeight="1" x14ac:dyDescent="0.2">
      <c r="A113" s="479" t="s">
        <v>446</v>
      </c>
      <c r="B113" s="11" t="s">
        <v>50</v>
      </c>
      <c r="C113" s="332">
        <f>+C114+C115</f>
        <v>70523591</v>
      </c>
      <c r="D113" s="3" t="s">
        <v>591</v>
      </c>
      <c r="E113" s="588">
        <v>300000</v>
      </c>
    </row>
    <row r="114" spans="1:5" ht="12" customHeight="1" x14ac:dyDescent="0.2">
      <c r="A114" s="480" t="s">
        <v>447</v>
      </c>
      <c r="B114" s="8" t="s">
        <v>513</v>
      </c>
      <c r="C114" s="334"/>
      <c r="D114" s="3" t="s">
        <v>736</v>
      </c>
      <c r="E114" s="588">
        <v>30000</v>
      </c>
    </row>
    <row r="115" spans="1:5" ht="12" customHeight="1" thickBot="1" x14ac:dyDescent="0.25">
      <c r="A115" s="488" t="s">
        <v>448</v>
      </c>
      <c r="B115" s="170" t="s">
        <v>514</v>
      </c>
      <c r="C115" s="338">
        <f>62523591+8000000</f>
        <v>70523591</v>
      </c>
      <c r="D115" s="3" t="s">
        <v>592</v>
      </c>
      <c r="E115" s="588">
        <v>200000</v>
      </c>
    </row>
    <row r="116" spans="1:5" ht="12" customHeight="1" thickBot="1" x14ac:dyDescent="0.25">
      <c r="A116" s="36" t="s">
        <v>19</v>
      </c>
      <c r="B116" s="30" t="s">
        <v>362</v>
      </c>
      <c r="C116" s="330">
        <f>+C117+C119+C121</f>
        <v>855068457</v>
      </c>
      <c r="D116" s="3" t="s">
        <v>594</v>
      </c>
      <c r="E116" s="588">
        <v>1000000</v>
      </c>
    </row>
    <row r="117" spans="1:5" ht="12" customHeight="1" x14ac:dyDescent="0.2">
      <c r="A117" s="478" t="s">
        <v>105</v>
      </c>
      <c r="B117" s="8" t="s">
        <v>225</v>
      </c>
      <c r="C117" s="333">
        <f>833049158+5000000+1500000+360000+581000</f>
        <v>840490158</v>
      </c>
      <c r="D117" s="3" t="s">
        <v>737</v>
      </c>
      <c r="E117" s="588">
        <v>250000</v>
      </c>
    </row>
    <row r="118" spans="1:5" ht="12" customHeight="1" x14ac:dyDescent="0.2">
      <c r="A118" s="478" t="s">
        <v>106</v>
      </c>
      <c r="B118" s="12" t="s">
        <v>366</v>
      </c>
      <c r="C118" s="333"/>
      <c r="D118" s="3" t="s">
        <v>640</v>
      </c>
      <c r="E118" s="588">
        <f>14500000+5500000</f>
        <v>20000000</v>
      </c>
    </row>
    <row r="119" spans="1:5" ht="12" customHeight="1" x14ac:dyDescent="0.2">
      <c r="A119" s="478" t="s">
        <v>107</v>
      </c>
      <c r="B119" s="12" t="s">
        <v>184</v>
      </c>
      <c r="C119" s="332">
        <v>10509250</v>
      </c>
      <c r="D119" s="3" t="s">
        <v>738</v>
      </c>
      <c r="E119" s="588">
        <v>50000</v>
      </c>
    </row>
    <row r="120" spans="1:5" ht="12" customHeight="1" x14ac:dyDescent="0.2">
      <c r="A120" s="478" t="s">
        <v>108</v>
      </c>
      <c r="B120" s="12" t="s">
        <v>367</v>
      </c>
      <c r="C120" s="297"/>
      <c r="D120" s="3" t="s">
        <v>739</v>
      </c>
      <c r="E120" s="588">
        <v>100000</v>
      </c>
    </row>
    <row r="121" spans="1:5" ht="12" customHeight="1" x14ac:dyDescent="0.2">
      <c r="A121" s="478" t="s">
        <v>109</v>
      </c>
      <c r="B121" s="327" t="s">
        <v>228</v>
      </c>
      <c r="C121" s="297">
        <f>SUM(C122:C129)</f>
        <v>4069049</v>
      </c>
      <c r="D121" s="3" t="s">
        <v>740</v>
      </c>
      <c r="E121" s="588">
        <v>100000</v>
      </c>
    </row>
    <row r="122" spans="1:5" ht="12" customHeight="1" x14ac:dyDescent="0.2">
      <c r="A122" s="478" t="s">
        <v>118</v>
      </c>
      <c r="B122" s="326" t="s">
        <v>431</v>
      </c>
      <c r="C122" s="297"/>
      <c r="E122" s="665">
        <f>SUM(E112:E121)</f>
        <v>25030000</v>
      </c>
    </row>
    <row r="123" spans="1:5" ht="12" customHeight="1" x14ac:dyDescent="0.2">
      <c r="A123" s="478" t="s">
        <v>120</v>
      </c>
      <c r="B123" s="455" t="s">
        <v>372</v>
      </c>
      <c r="C123" s="297"/>
    </row>
    <row r="124" spans="1:5" ht="12" customHeight="1" x14ac:dyDescent="0.2">
      <c r="A124" s="478" t="s">
        <v>185</v>
      </c>
      <c r="B124" s="168" t="s">
        <v>355</v>
      </c>
      <c r="C124" s="297"/>
    </row>
    <row r="125" spans="1:5" ht="12" customHeight="1" x14ac:dyDescent="0.2">
      <c r="A125" s="478" t="s">
        <v>186</v>
      </c>
      <c r="B125" s="168" t="s">
        <v>371</v>
      </c>
      <c r="C125" s="297"/>
    </row>
    <row r="126" spans="1:5" ht="12" customHeight="1" x14ac:dyDescent="0.2">
      <c r="A126" s="478" t="s">
        <v>187</v>
      </c>
      <c r="B126" s="168" t="s">
        <v>370</v>
      </c>
      <c r="C126" s="297"/>
    </row>
    <row r="127" spans="1:5" ht="12" customHeight="1" x14ac:dyDescent="0.2">
      <c r="A127" s="478" t="s">
        <v>363</v>
      </c>
      <c r="B127" s="168" t="s">
        <v>358</v>
      </c>
      <c r="C127" s="297"/>
    </row>
    <row r="128" spans="1:5" ht="12" customHeight="1" x14ac:dyDescent="0.2">
      <c r="A128" s="478" t="s">
        <v>364</v>
      </c>
      <c r="B128" s="168" t="s">
        <v>369</v>
      </c>
      <c r="C128" s="297"/>
    </row>
    <row r="129" spans="1:11" ht="12" customHeight="1" thickBot="1" x14ac:dyDescent="0.25">
      <c r="A129" s="487" t="s">
        <v>365</v>
      </c>
      <c r="B129" s="168" t="s">
        <v>368</v>
      </c>
      <c r="C129" s="299">
        <v>4069049</v>
      </c>
    </row>
    <row r="130" spans="1:11" ht="12" customHeight="1" thickBot="1" x14ac:dyDescent="0.25">
      <c r="A130" s="36" t="s">
        <v>20</v>
      </c>
      <c r="B130" s="150" t="s">
        <v>451</v>
      </c>
      <c r="C130" s="330">
        <f>+C94+C116</f>
        <v>1515673437</v>
      </c>
    </row>
    <row r="131" spans="1:11" ht="12" customHeight="1" thickBot="1" x14ac:dyDescent="0.25">
      <c r="A131" s="36" t="s">
        <v>21</v>
      </c>
      <c r="B131" s="150" t="s">
        <v>452</v>
      </c>
      <c r="C131" s="330">
        <f>+C132+C133+C134</f>
        <v>4272000</v>
      </c>
    </row>
    <row r="132" spans="1:11" s="117" customFormat="1" ht="12" customHeight="1" x14ac:dyDescent="0.2">
      <c r="A132" s="478" t="s">
        <v>267</v>
      </c>
      <c r="B132" s="9" t="s">
        <v>518</v>
      </c>
      <c r="C132" s="297">
        <v>4272000</v>
      </c>
    </row>
    <row r="133" spans="1:11" ht="12" customHeight="1" x14ac:dyDescent="0.2">
      <c r="A133" s="478" t="s">
        <v>268</v>
      </c>
      <c r="B133" s="9" t="s">
        <v>460</v>
      </c>
      <c r="C133" s="297"/>
    </row>
    <row r="134" spans="1:11" ht="12" customHeight="1" thickBot="1" x14ac:dyDescent="0.25">
      <c r="A134" s="487" t="s">
        <v>269</v>
      </c>
      <c r="B134" s="7" t="s">
        <v>517</v>
      </c>
      <c r="C134" s="297"/>
    </row>
    <row r="135" spans="1:11" ht="12" customHeight="1" thickBot="1" x14ac:dyDescent="0.25">
      <c r="A135" s="36" t="s">
        <v>22</v>
      </c>
      <c r="B135" s="150" t="s">
        <v>453</v>
      </c>
      <c r="C135" s="330">
        <f>+C136+C137+C138+C139+C140+C141</f>
        <v>0</v>
      </c>
    </row>
    <row r="136" spans="1:11" ht="12" customHeight="1" x14ac:dyDescent="0.2">
      <c r="A136" s="478" t="s">
        <v>92</v>
      </c>
      <c r="B136" s="9" t="s">
        <v>462</v>
      </c>
      <c r="C136" s="297"/>
    </row>
    <row r="137" spans="1:11" ht="12" customHeight="1" x14ac:dyDescent="0.2">
      <c r="A137" s="478" t="s">
        <v>93</v>
      </c>
      <c r="B137" s="9" t="s">
        <v>454</v>
      </c>
      <c r="C137" s="297"/>
    </row>
    <row r="138" spans="1:11" ht="12" customHeight="1" x14ac:dyDescent="0.2">
      <c r="A138" s="478" t="s">
        <v>94</v>
      </c>
      <c r="B138" s="9" t="s">
        <v>455</v>
      </c>
      <c r="C138" s="297"/>
    </row>
    <row r="139" spans="1:11" ht="12" customHeight="1" x14ac:dyDescent="0.2">
      <c r="A139" s="478" t="s">
        <v>172</v>
      </c>
      <c r="B139" s="9" t="s">
        <v>516</v>
      </c>
      <c r="C139" s="297"/>
    </row>
    <row r="140" spans="1:11" ht="12" customHeight="1" x14ac:dyDescent="0.2">
      <c r="A140" s="478" t="s">
        <v>173</v>
      </c>
      <c r="B140" s="9" t="s">
        <v>457</v>
      </c>
      <c r="C140" s="297"/>
    </row>
    <row r="141" spans="1:11" s="117" customFormat="1" ht="12" customHeight="1" thickBot="1" x14ac:dyDescent="0.25">
      <c r="A141" s="487" t="s">
        <v>174</v>
      </c>
      <c r="B141" s="7" t="s">
        <v>458</v>
      </c>
      <c r="C141" s="297"/>
    </row>
    <row r="142" spans="1:11" ht="12" customHeight="1" thickBot="1" x14ac:dyDescent="0.25">
      <c r="A142" s="36" t="s">
        <v>23</v>
      </c>
      <c r="B142" s="150" t="s">
        <v>544</v>
      </c>
      <c r="C142" s="336">
        <f>+C143+C144+C146+C147+C145</f>
        <v>523114080</v>
      </c>
      <c r="K142" s="279"/>
    </row>
    <row r="143" spans="1:11" x14ac:dyDescent="0.2">
      <c r="A143" s="478" t="s">
        <v>95</v>
      </c>
      <c r="B143" s="9" t="s">
        <v>373</v>
      </c>
      <c r="C143" s="297"/>
    </row>
    <row r="144" spans="1:11" ht="12" customHeight="1" x14ac:dyDescent="0.2">
      <c r="A144" s="478" t="s">
        <v>96</v>
      </c>
      <c r="B144" s="9" t="s">
        <v>374</v>
      </c>
      <c r="C144" s="297">
        <v>18607309</v>
      </c>
    </row>
    <row r="145" spans="1:6" s="117" customFormat="1" ht="12" customHeight="1" x14ac:dyDescent="0.2">
      <c r="A145" s="478" t="s">
        <v>287</v>
      </c>
      <c r="B145" s="9" t="s">
        <v>543</v>
      </c>
      <c r="C145" s="297">
        <f>'9.2. sz. mell HIV'!C41+'9.3. sz. mell GAM'!C40+'9.4. sz. mell ILMKS'!C40+'9.5. sz. mell OVI'!C40+'9.6. sz. mell CSSK'!C40</f>
        <v>503473940</v>
      </c>
    </row>
    <row r="146" spans="1:6" s="117" customFormat="1" ht="12" customHeight="1" x14ac:dyDescent="0.2">
      <c r="A146" s="478" t="s">
        <v>288</v>
      </c>
      <c r="B146" s="9" t="s">
        <v>467</v>
      </c>
      <c r="C146" s="297"/>
    </row>
    <row r="147" spans="1:6" s="117" customFormat="1" ht="12" customHeight="1" thickBot="1" x14ac:dyDescent="0.25">
      <c r="A147" s="487" t="s">
        <v>289</v>
      </c>
      <c r="B147" s="7" t="s">
        <v>393</v>
      </c>
      <c r="C147" s="297">
        <v>1032831</v>
      </c>
    </row>
    <row r="148" spans="1:6" s="117" customFormat="1" ht="12" customHeight="1" thickBot="1" x14ac:dyDescent="0.25">
      <c r="A148" s="36" t="s">
        <v>24</v>
      </c>
      <c r="B148" s="150" t="s">
        <v>468</v>
      </c>
      <c r="C148" s="339">
        <f>+C149+C150+C151+C152+C153</f>
        <v>0</v>
      </c>
    </row>
    <row r="149" spans="1:6" s="117" customFormat="1" ht="12" customHeight="1" x14ac:dyDescent="0.2">
      <c r="A149" s="478" t="s">
        <v>97</v>
      </c>
      <c r="B149" s="9" t="s">
        <v>463</v>
      </c>
      <c r="C149" s="297"/>
    </row>
    <row r="150" spans="1:6" s="117" customFormat="1" ht="12" customHeight="1" x14ac:dyDescent="0.2">
      <c r="A150" s="478" t="s">
        <v>98</v>
      </c>
      <c r="B150" s="9" t="s">
        <v>470</v>
      </c>
      <c r="C150" s="297"/>
    </row>
    <row r="151" spans="1:6" s="117" customFormat="1" ht="12" customHeight="1" x14ac:dyDescent="0.2">
      <c r="A151" s="478" t="s">
        <v>299</v>
      </c>
      <c r="B151" s="9" t="s">
        <v>465</v>
      </c>
      <c r="C151" s="297"/>
    </row>
    <row r="152" spans="1:6" ht="12.75" customHeight="1" x14ac:dyDescent="0.2">
      <c r="A152" s="478" t="s">
        <v>300</v>
      </c>
      <c r="B152" s="9" t="s">
        <v>519</v>
      </c>
      <c r="C152" s="297"/>
    </row>
    <row r="153" spans="1:6" ht="12.75" customHeight="1" thickBot="1" x14ac:dyDescent="0.25">
      <c r="A153" s="487" t="s">
        <v>469</v>
      </c>
      <c r="B153" s="7" t="s">
        <v>472</v>
      </c>
      <c r="C153" s="299"/>
    </row>
    <row r="154" spans="1:6" ht="12.75" customHeight="1" thickBot="1" x14ac:dyDescent="0.25">
      <c r="A154" s="539" t="s">
        <v>25</v>
      </c>
      <c r="B154" s="150" t="s">
        <v>473</v>
      </c>
      <c r="C154" s="339"/>
    </row>
    <row r="155" spans="1:6" ht="12" customHeight="1" thickBot="1" x14ac:dyDescent="0.25">
      <c r="A155" s="539" t="s">
        <v>26</v>
      </c>
      <c r="B155" s="150" t="s">
        <v>474</v>
      </c>
      <c r="C155" s="339"/>
    </row>
    <row r="156" spans="1:6" ht="15" customHeight="1" thickBot="1" x14ac:dyDescent="0.25">
      <c r="A156" s="36" t="s">
        <v>27</v>
      </c>
      <c r="B156" s="150" t="s">
        <v>476</v>
      </c>
      <c r="C156" s="469">
        <f>+C131+C135+C142+C148+C154+C155</f>
        <v>527386080</v>
      </c>
    </row>
    <row r="157" spans="1:6" ht="13.5" thickBot="1" x14ac:dyDescent="0.25">
      <c r="A157" s="489" t="s">
        <v>28</v>
      </c>
      <c r="B157" s="421" t="s">
        <v>475</v>
      </c>
      <c r="C157" s="469">
        <f>+C130+C156</f>
        <v>2043059517</v>
      </c>
      <c r="F157" s="47">
        <f>C157-C91</f>
        <v>0</v>
      </c>
    </row>
    <row r="158" spans="1:6" ht="15" customHeight="1" thickBot="1" x14ac:dyDescent="0.25">
      <c r="A158" s="429"/>
      <c r="B158" s="430"/>
      <c r="C158" s="431"/>
    </row>
    <row r="159" spans="1:6" ht="14.25" customHeight="1" thickBot="1" x14ac:dyDescent="0.25">
      <c r="A159" s="276" t="s">
        <v>520</v>
      </c>
      <c r="B159" s="277"/>
      <c r="C159" s="147">
        <v>11</v>
      </c>
    </row>
    <row r="160" spans="1:6" ht="13.5" thickBot="1" x14ac:dyDescent="0.25">
      <c r="A160" s="276" t="s">
        <v>203</v>
      </c>
      <c r="B160" s="277"/>
      <c r="C160" s="147">
        <v>424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zoomScale="85" zoomScaleNormal="130" zoomScaleSheetLayoutView="85" workbookViewId="0">
      <selection activeCell="C2" sqref="C2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+CONCATENATE("9.1.2. melléklet a 4/",LEFT(ÖSSZEFÜGGÉSEK!A5,4),". (II. 20.) önkormányzati rendelethez")</f>
        <v>9.1.2. melléklet a 4/2018. (II. 20.)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433</v>
      </c>
      <c r="C3" s="538" t="s">
        <v>59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6245112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>
        <v>6245112</v>
      </c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0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/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3354926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715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>
        <v>3354926</v>
      </c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713</v>
      </c>
      <c r="B37" s="461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564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461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461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461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9600038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462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9600038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9600038</v>
      </c>
    </row>
    <row r="95" spans="1:3" ht="12" customHeight="1" x14ac:dyDescent="0.2">
      <c r="A95" s="486" t="s">
        <v>99</v>
      </c>
      <c r="B95" s="10" t="s">
        <v>49</v>
      </c>
      <c r="C95" s="331">
        <f>5668450+200000</f>
        <v>5868450</v>
      </c>
    </row>
    <row r="96" spans="1:3" ht="12" customHeight="1" x14ac:dyDescent="0.2">
      <c r="A96" s="479" t="s">
        <v>100</v>
      </c>
      <c r="B96" s="8" t="s">
        <v>180</v>
      </c>
      <c r="C96" s="332">
        <f>1116588+39000</f>
        <v>1155588</v>
      </c>
    </row>
    <row r="97" spans="1:3" ht="12" customHeight="1" x14ac:dyDescent="0.2">
      <c r="A97" s="479" t="s">
        <v>101</v>
      </c>
      <c r="B97" s="8" t="s">
        <v>141</v>
      </c>
      <c r="C97" s="334">
        <v>2576000</v>
      </c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0</v>
      </c>
    </row>
    <row r="116" spans="1:3" ht="12" customHeight="1" x14ac:dyDescent="0.2">
      <c r="A116" s="478" t="s">
        <v>105</v>
      </c>
      <c r="B116" s="8" t="s">
        <v>225</v>
      </c>
      <c r="C116" s="333"/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9600038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9" t="s">
        <v>25</v>
      </c>
      <c r="B153" s="150" t="s">
        <v>473</v>
      </c>
      <c r="C153" s="339"/>
    </row>
    <row r="154" spans="1:3" ht="12" customHeight="1" thickBot="1" x14ac:dyDescent="0.25">
      <c r="A154" s="539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9600038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zoomScale="85" zoomScaleNormal="130" zoomScaleSheetLayoutView="85" workbookViewId="0">
      <selection activeCell="C2" sqref="C2"/>
    </sheetView>
  </sheetViews>
  <sheetFormatPr defaultRowHeight="12.75" x14ac:dyDescent="0.2"/>
  <cols>
    <col min="1" max="1" width="19.5" style="432" customWidth="1"/>
    <col min="2" max="2" width="72" style="433" customWidth="1"/>
    <col min="3" max="3" width="25" style="434" customWidth="1"/>
    <col min="4" max="16384" width="9.33203125" style="3"/>
  </cols>
  <sheetData>
    <row r="1" spans="1:3" s="2" customFormat="1" ht="16.5" customHeight="1" thickBot="1" x14ac:dyDescent="0.25">
      <c r="A1" s="254"/>
      <c r="B1" s="256"/>
      <c r="C1" s="278" t="str">
        <f>+CONCATENATE("9.1.3. melléklet a 4/",LEFT(ÖSSZEFÜGGÉSEK!A5,4),". (II. 20.) önkormányzati rendelethez")</f>
        <v>9.1.3. melléklet a 4/2018. (II. 20.) önkormányzati rendelethez</v>
      </c>
    </row>
    <row r="2" spans="1:3" s="113" customFormat="1" ht="21" customHeight="1" x14ac:dyDescent="0.2">
      <c r="A2" s="449" t="s">
        <v>62</v>
      </c>
      <c r="B2" s="391" t="s">
        <v>569</v>
      </c>
      <c r="C2" s="393" t="s">
        <v>54</v>
      </c>
    </row>
    <row r="3" spans="1:3" s="113" customFormat="1" ht="16.5" thickBot="1" x14ac:dyDescent="0.25">
      <c r="A3" s="257" t="s">
        <v>200</v>
      </c>
      <c r="B3" s="392" t="s">
        <v>531</v>
      </c>
      <c r="C3" s="538" t="s">
        <v>60</v>
      </c>
    </row>
    <row r="4" spans="1:3" s="114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75" customFormat="1" ht="12.95" customHeight="1" thickBot="1" x14ac:dyDescent="0.25">
      <c r="A6" s="223"/>
      <c r="B6" s="224" t="s">
        <v>495</v>
      </c>
      <c r="C6" s="225" t="s">
        <v>496</v>
      </c>
    </row>
    <row r="7" spans="1:3" s="75" customFormat="1" ht="15.95" customHeight="1" thickBot="1" x14ac:dyDescent="0.25">
      <c r="A7" s="261"/>
      <c r="B7" s="262" t="s">
        <v>56</v>
      </c>
      <c r="C7" s="395"/>
    </row>
    <row r="8" spans="1:3" s="75" customFormat="1" ht="12" customHeight="1" thickBot="1" x14ac:dyDescent="0.25">
      <c r="A8" s="36" t="s">
        <v>18</v>
      </c>
      <c r="B8" s="21" t="s">
        <v>251</v>
      </c>
      <c r="C8" s="330">
        <f>+C9+C10+C11+C12+C13+C14</f>
        <v>0</v>
      </c>
    </row>
    <row r="9" spans="1:3" s="115" customFormat="1" ht="12" customHeight="1" x14ac:dyDescent="0.2">
      <c r="A9" s="478" t="s">
        <v>99</v>
      </c>
      <c r="B9" s="459" t="s">
        <v>252</v>
      </c>
      <c r="C9" s="333"/>
    </row>
    <row r="10" spans="1:3" s="116" customFormat="1" ht="12" customHeight="1" x14ac:dyDescent="0.2">
      <c r="A10" s="479" t="s">
        <v>100</v>
      </c>
      <c r="B10" s="460" t="s">
        <v>253</v>
      </c>
      <c r="C10" s="332"/>
    </row>
    <row r="11" spans="1:3" s="116" customFormat="1" ht="12" customHeight="1" x14ac:dyDescent="0.2">
      <c r="A11" s="479" t="s">
        <v>101</v>
      </c>
      <c r="B11" s="460" t="s">
        <v>553</v>
      </c>
      <c r="C11" s="332"/>
    </row>
    <row r="12" spans="1:3" s="116" customFormat="1" ht="12" customHeight="1" x14ac:dyDescent="0.2">
      <c r="A12" s="479" t="s">
        <v>102</v>
      </c>
      <c r="B12" s="460" t="s">
        <v>255</v>
      </c>
      <c r="C12" s="332"/>
    </row>
    <row r="13" spans="1:3" s="116" customFormat="1" ht="12" customHeight="1" x14ac:dyDescent="0.2">
      <c r="A13" s="479" t="s">
        <v>148</v>
      </c>
      <c r="B13" s="460" t="s">
        <v>507</v>
      </c>
      <c r="C13" s="332"/>
    </row>
    <row r="14" spans="1:3" s="115" customFormat="1" ht="12" customHeight="1" thickBot="1" x14ac:dyDescent="0.25">
      <c r="A14" s="480" t="s">
        <v>103</v>
      </c>
      <c r="B14" s="461" t="s">
        <v>436</v>
      </c>
      <c r="C14" s="332"/>
    </row>
    <row r="15" spans="1:3" s="115" customFormat="1" ht="12" customHeight="1" thickBot="1" x14ac:dyDescent="0.25">
      <c r="A15" s="36" t="s">
        <v>19</v>
      </c>
      <c r="B15" s="325" t="s">
        <v>256</v>
      </c>
      <c r="C15" s="330">
        <f>+C16+C17+C18+C19+C20</f>
        <v>0</v>
      </c>
    </row>
    <row r="16" spans="1:3" s="115" customFormat="1" ht="12" customHeight="1" x14ac:dyDescent="0.2">
      <c r="A16" s="478" t="s">
        <v>105</v>
      </c>
      <c r="B16" s="459" t="s">
        <v>257</v>
      </c>
      <c r="C16" s="333"/>
    </row>
    <row r="17" spans="1:3" s="115" customFormat="1" ht="12" customHeight="1" x14ac:dyDescent="0.2">
      <c r="A17" s="479" t="s">
        <v>106</v>
      </c>
      <c r="B17" s="460" t="s">
        <v>258</v>
      </c>
      <c r="C17" s="332"/>
    </row>
    <row r="18" spans="1:3" s="115" customFormat="1" ht="12" customHeight="1" x14ac:dyDescent="0.2">
      <c r="A18" s="479" t="s">
        <v>107</v>
      </c>
      <c r="B18" s="460" t="s">
        <v>425</v>
      </c>
      <c r="C18" s="332"/>
    </row>
    <row r="19" spans="1:3" s="115" customFormat="1" ht="12" customHeight="1" x14ac:dyDescent="0.2">
      <c r="A19" s="479" t="s">
        <v>108</v>
      </c>
      <c r="B19" s="460" t="s">
        <v>426</v>
      </c>
      <c r="C19" s="332"/>
    </row>
    <row r="20" spans="1:3" s="115" customFormat="1" ht="12" customHeight="1" x14ac:dyDescent="0.2">
      <c r="A20" s="479" t="s">
        <v>109</v>
      </c>
      <c r="B20" s="460" t="s">
        <v>259</v>
      </c>
      <c r="C20" s="332"/>
    </row>
    <row r="21" spans="1:3" s="116" customFormat="1" ht="12" customHeight="1" thickBot="1" x14ac:dyDescent="0.25">
      <c r="A21" s="480" t="s">
        <v>118</v>
      </c>
      <c r="B21" s="461" t="s">
        <v>260</v>
      </c>
      <c r="C21" s="334"/>
    </row>
    <row r="22" spans="1:3" s="116" customFormat="1" ht="12" customHeight="1" thickBot="1" x14ac:dyDescent="0.25">
      <c r="A22" s="36" t="s">
        <v>20</v>
      </c>
      <c r="B22" s="21" t="s">
        <v>261</v>
      </c>
      <c r="C22" s="330">
        <f>+C23+C24+C25+C26+C27</f>
        <v>0</v>
      </c>
    </row>
    <row r="23" spans="1:3" s="116" customFormat="1" ht="12" customHeight="1" x14ac:dyDescent="0.2">
      <c r="A23" s="478" t="s">
        <v>88</v>
      </c>
      <c r="B23" s="459" t="s">
        <v>262</v>
      </c>
      <c r="C23" s="333"/>
    </row>
    <row r="24" spans="1:3" s="115" customFormat="1" ht="12" customHeight="1" x14ac:dyDescent="0.2">
      <c r="A24" s="479" t="s">
        <v>89</v>
      </c>
      <c r="B24" s="460" t="s">
        <v>263</v>
      </c>
      <c r="C24" s="332"/>
    </row>
    <row r="25" spans="1:3" s="116" customFormat="1" ht="12" customHeight="1" x14ac:dyDescent="0.2">
      <c r="A25" s="479" t="s">
        <v>90</v>
      </c>
      <c r="B25" s="460" t="s">
        <v>427</v>
      </c>
      <c r="C25" s="332"/>
    </row>
    <row r="26" spans="1:3" s="116" customFormat="1" ht="12" customHeight="1" x14ac:dyDescent="0.2">
      <c r="A26" s="479" t="s">
        <v>91</v>
      </c>
      <c r="B26" s="460" t="s">
        <v>428</v>
      </c>
      <c r="C26" s="332"/>
    </row>
    <row r="27" spans="1:3" s="116" customFormat="1" ht="12" customHeight="1" x14ac:dyDescent="0.2">
      <c r="A27" s="479" t="s">
        <v>168</v>
      </c>
      <c r="B27" s="460" t="s">
        <v>264</v>
      </c>
      <c r="C27" s="332"/>
    </row>
    <row r="28" spans="1:3" s="116" customFormat="1" ht="12" customHeight="1" thickBot="1" x14ac:dyDescent="0.25">
      <c r="A28" s="480" t="s">
        <v>169</v>
      </c>
      <c r="B28" s="461" t="s">
        <v>265</v>
      </c>
      <c r="C28" s="334"/>
    </row>
    <row r="29" spans="1:3" s="116" customFormat="1" ht="12" customHeight="1" thickBot="1" x14ac:dyDescent="0.25">
      <c r="A29" s="36" t="s">
        <v>170</v>
      </c>
      <c r="B29" s="21" t="s">
        <v>266</v>
      </c>
      <c r="C29" s="336">
        <f>SUM(C30:C37)</f>
        <v>0</v>
      </c>
    </row>
    <row r="30" spans="1:3" s="116" customFormat="1" ht="12" customHeight="1" x14ac:dyDescent="0.2">
      <c r="A30" s="478" t="s">
        <v>267</v>
      </c>
      <c r="B30" s="459" t="s">
        <v>558</v>
      </c>
      <c r="C30" s="333"/>
    </row>
    <row r="31" spans="1:3" s="116" customFormat="1" ht="12" customHeight="1" x14ac:dyDescent="0.2">
      <c r="A31" s="479" t="s">
        <v>268</v>
      </c>
      <c r="B31" s="460" t="s">
        <v>559</v>
      </c>
      <c r="C31" s="332"/>
    </row>
    <row r="32" spans="1:3" s="116" customFormat="1" ht="12" customHeight="1" x14ac:dyDescent="0.2">
      <c r="A32" s="479" t="s">
        <v>269</v>
      </c>
      <c r="B32" s="460" t="s">
        <v>712</v>
      </c>
      <c r="C32" s="332"/>
    </row>
    <row r="33" spans="1:3" s="116" customFormat="1" ht="12" customHeight="1" x14ac:dyDescent="0.2">
      <c r="A33" s="479" t="s">
        <v>270</v>
      </c>
      <c r="B33" s="460" t="s">
        <v>560</v>
      </c>
      <c r="C33" s="332"/>
    </row>
    <row r="34" spans="1:3" s="116" customFormat="1" ht="12" customHeight="1" x14ac:dyDescent="0.2">
      <c r="A34" s="479" t="s">
        <v>555</v>
      </c>
      <c r="B34" s="460" t="s">
        <v>561</v>
      </c>
      <c r="C34" s="332"/>
    </row>
    <row r="35" spans="1:3" s="116" customFormat="1" ht="12" customHeight="1" x14ac:dyDescent="0.2">
      <c r="A35" s="479" t="s">
        <v>556</v>
      </c>
      <c r="B35" s="460" t="s">
        <v>271</v>
      </c>
      <c r="C35" s="332"/>
    </row>
    <row r="36" spans="1:3" s="116" customFormat="1" ht="12" customHeight="1" x14ac:dyDescent="0.2">
      <c r="A36" s="480" t="s">
        <v>557</v>
      </c>
      <c r="B36" s="460" t="s">
        <v>272</v>
      </c>
      <c r="C36" s="332"/>
    </row>
    <row r="37" spans="1:3" s="116" customFormat="1" ht="12" customHeight="1" thickBot="1" x14ac:dyDescent="0.25">
      <c r="A37" s="480" t="s">
        <v>713</v>
      </c>
      <c r="B37" s="564" t="s">
        <v>273</v>
      </c>
      <c r="C37" s="334"/>
    </row>
    <row r="38" spans="1:3" s="116" customFormat="1" ht="12" customHeight="1" thickBot="1" x14ac:dyDescent="0.25">
      <c r="A38" s="36" t="s">
        <v>22</v>
      </c>
      <c r="B38" s="21" t="s">
        <v>437</v>
      </c>
      <c r="C38" s="330">
        <f>SUM(C39:C49)</f>
        <v>0</v>
      </c>
    </row>
    <row r="39" spans="1:3" s="116" customFormat="1" ht="12" customHeight="1" x14ac:dyDescent="0.2">
      <c r="A39" s="478" t="s">
        <v>92</v>
      </c>
      <c r="B39" s="459" t="s">
        <v>276</v>
      </c>
      <c r="C39" s="333"/>
    </row>
    <row r="40" spans="1:3" s="116" customFormat="1" ht="12" customHeight="1" x14ac:dyDescent="0.2">
      <c r="A40" s="479" t="s">
        <v>93</v>
      </c>
      <c r="B40" s="460" t="s">
        <v>277</v>
      </c>
      <c r="C40" s="332"/>
    </row>
    <row r="41" spans="1:3" s="116" customFormat="1" ht="12" customHeight="1" x14ac:dyDescent="0.2">
      <c r="A41" s="479" t="s">
        <v>94</v>
      </c>
      <c r="B41" s="460" t="s">
        <v>278</v>
      </c>
      <c r="C41" s="332"/>
    </row>
    <row r="42" spans="1:3" s="116" customFormat="1" ht="12" customHeight="1" x14ac:dyDescent="0.2">
      <c r="A42" s="479" t="s">
        <v>172</v>
      </c>
      <c r="B42" s="460" t="s">
        <v>279</v>
      </c>
      <c r="C42" s="332"/>
    </row>
    <row r="43" spans="1:3" s="116" customFormat="1" ht="12" customHeight="1" x14ac:dyDescent="0.2">
      <c r="A43" s="479" t="s">
        <v>173</v>
      </c>
      <c r="B43" s="460" t="s">
        <v>280</v>
      </c>
      <c r="C43" s="332"/>
    </row>
    <row r="44" spans="1:3" s="116" customFormat="1" ht="12" customHeight="1" x14ac:dyDescent="0.2">
      <c r="A44" s="479" t="s">
        <v>174</v>
      </c>
      <c r="B44" s="460" t="s">
        <v>281</v>
      </c>
      <c r="C44" s="332"/>
    </row>
    <row r="45" spans="1:3" s="116" customFormat="1" ht="12" customHeight="1" x14ac:dyDescent="0.2">
      <c r="A45" s="479" t="s">
        <v>175</v>
      </c>
      <c r="B45" s="460" t="s">
        <v>282</v>
      </c>
      <c r="C45" s="332"/>
    </row>
    <row r="46" spans="1:3" s="116" customFormat="1" ht="12" customHeight="1" x14ac:dyDescent="0.2">
      <c r="A46" s="479" t="s">
        <v>176</v>
      </c>
      <c r="B46" s="460" t="s">
        <v>562</v>
      </c>
      <c r="C46" s="332"/>
    </row>
    <row r="47" spans="1:3" s="116" customFormat="1" ht="12" customHeight="1" x14ac:dyDescent="0.2">
      <c r="A47" s="479" t="s">
        <v>274</v>
      </c>
      <c r="B47" s="460" t="s">
        <v>284</v>
      </c>
      <c r="C47" s="335"/>
    </row>
    <row r="48" spans="1:3" s="116" customFormat="1" ht="12" customHeight="1" x14ac:dyDescent="0.2">
      <c r="A48" s="480" t="s">
        <v>275</v>
      </c>
      <c r="B48" s="461" t="s">
        <v>439</v>
      </c>
      <c r="C48" s="445"/>
    </row>
    <row r="49" spans="1:3" s="116" customFormat="1" ht="12" customHeight="1" thickBot="1" x14ac:dyDescent="0.25">
      <c r="A49" s="480" t="s">
        <v>438</v>
      </c>
      <c r="B49" s="461" t="s">
        <v>285</v>
      </c>
      <c r="C49" s="445"/>
    </row>
    <row r="50" spans="1:3" s="116" customFormat="1" ht="12" customHeight="1" thickBot="1" x14ac:dyDescent="0.25">
      <c r="A50" s="36" t="s">
        <v>23</v>
      </c>
      <c r="B50" s="21" t="s">
        <v>286</v>
      </c>
      <c r="C50" s="330">
        <f>SUM(C51:C55)</f>
        <v>0</v>
      </c>
    </row>
    <row r="51" spans="1:3" s="116" customFormat="1" ht="12" customHeight="1" x14ac:dyDescent="0.2">
      <c r="A51" s="478" t="s">
        <v>95</v>
      </c>
      <c r="B51" s="459" t="s">
        <v>290</v>
      </c>
      <c r="C51" s="504"/>
    </row>
    <row r="52" spans="1:3" s="116" customFormat="1" ht="12" customHeight="1" x14ac:dyDescent="0.2">
      <c r="A52" s="479" t="s">
        <v>96</v>
      </c>
      <c r="B52" s="460" t="s">
        <v>291</v>
      </c>
      <c r="C52" s="335"/>
    </row>
    <row r="53" spans="1:3" s="116" customFormat="1" ht="12" customHeight="1" x14ac:dyDescent="0.2">
      <c r="A53" s="479" t="s">
        <v>287</v>
      </c>
      <c r="B53" s="460" t="s">
        <v>292</v>
      </c>
      <c r="C53" s="335"/>
    </row>
    <row r="54" spans="1:3" s="116" customFormat="1" ht="12" customHeight="1" x14ac:dyDescent="0.2">
      <c r="A54" s="479" t="s">
        <v>288</v>
      </c>
      <c r="B54" s="460" t="s">
        <v>293</v>
      </c>
      <c r="C54" s="335"/>
    </row>
    <row r="55" spans="1:3" s="116" customFormat="1" ht="12" customHeight="1" thickBot="1" x14ac:dyDescent="0.25">
      <c r="A55" s="480" t="s">
        <v>289</v>
      </c>
      <c r="B55" s="564" t="s">
        <v>294</v>
      </c>
      <c r="C55" s="445"/>
    </row>
    <row r="56" spans="1:3" s="116" customFormat="1" ht="12" customHeight="1" thickBot="1" x14ac:dyDescent="0.25">
      <c r="A56" s="36" t="s">
        <v>177</v>
      </c>
      <c r="B56" s="21" t="s">
        <v>295</v>
      </c>
      <c r="C56" s="330">
        <f>SUM(C57:C59)</f>
        <v>0</v>
      </c>
    </row>
    <row r="57" spans="1:3" s="116" customFormat="1" ht="12" customHeight="1" x14ac:dyDescent="0.2">
      <c r="A57" s="478" t="s">
        <v>97</v>
      </c>
      <c r="B57" s="459" t="s">
        <v>296</v>
      </c>
      <c r="C57" s="333"/>
    </row>
    <row r="58" spans="1:3" s="116" customFormat="1" ht="12" customHeight="1" x14ac:dyDescent="0.2">
      <c r="A58" s="479" t="s">
        <v>98</v>
      </c>
      <c r="B58" s="460" t="s">
        <v>429</v>
      </c>
      <c r="C58" s="332"/>
    </row>
    <row r="59" spans="1:3" s="116" customFormat="1" ht="12" customHeight="1" x14ac:dyDescent="0.2">
      <c r="A59" s="479" t="s">
        <v>299</v>
      </c>
      <c r="B59" s="460" t="s">
        <v>297</v>
      </c>
      <c r="C59" s="332"/>
    </row>
    <row r="60" spans="1:3" s="116" customFormat="1" ht="12" customHeight="1" thickBot="1" x14ac:dyDescent="0.25">
      <c r="A60" s="480" t="s">
        <v>300</v>
      </c>
      <c r="B60" s="564" t="s">
        <v>298</v>
      </c>
      <c r="C60" s="334"/>
    </row>
    <row r="61" spans="1:3" s="116" customFormat="1" ht="12" customHeight="1" thickBot="1" x14ac:dyDescent="0.25">
      <c r="A61" s="36" t="s">
        <v>25</v>
      </c>
      <c r="B61" s="325" t="s">
        <v>301</v>
      </c>
      <c r="C61" s="330">
        <f>SUM(C62:C64)</f>
        <v>0</v>
      </c>
    </row>
    <row r="62" spans="1:3" s="116" customFormat="1" ht="12" customHeight="1" x14ac:dyDescent="0.2">
      <c r="A62" s="478" t="s">
        <v>178</v>
      </c>
      <c r="B62" s="459" t="s">
        <v>303</v>
      </c>
      <c r="C62" s="335"/>
    </row>
    <row r="63" spans="1:3" s="116" customFormat="1" ht="12" customHeight="1" x14ac:dyDescent="0.2">
      <c r="A63" s="479" t="s">
        <v>179</v>
      </c>
      <c r="B63" s="460" t="s">
        <v>430</v>
      </c>
      <c r="C63" s="335"/>
    </row>
    <row r="64" spans="1:3" s="116" customFormat="1" ht="12" customHeight="1" x14ac:dyDescent="0.2">
      <c r="A64" s="479" t="s">
        <v>227</v>
      </c>
      <c r="B64" s="460" t="s">
        <v>304</v>
      </c>
      <c r="C64" s="335"/>
    </row>
    <row r="65" spans="1:3" s="116" customFormat="1" ht="12" customHeight="1" thickBot="1" x14ac:dyDescent="0.25">
      <c r="A65" s="480" t="s">
        <v>302</v>
      </c>
      <c r="B65" s="564" t="s">
        <v>305</v>
      </c>
      <c r="C65" s="335"/>
    </row>
    <row r="66" spans="1:3" s="116" customFormat="1" ht="12" customHeight="1" thickBot="1" x14ac:dyDescent="0.25">
      <c r="A66" s="36" t="s">
        <v>26</v>
      </c>
      <c r="B66" s="21" t="s">
        <v>306</v>
      </c>
      <c r="C66" s="336">
        <f>+C8+C15+C22+C29+C38+C50+C56+C61</f>
        <v>0</v>
      </c>
    </row>
    <row r="67" spans="1:3" s="116" customFormat="1" ht="12" customHeight="1" thickBot="1" x14ac:dyDescent="0.2">
      <c r="A67" s="481" t="s">
        <v>397</v>
      </c>
      <c r="B67" s="325" t="s">
        <v>308</v>
      </c>
      <c r="C67" s="330">
        <f>SUM(C68:C70)</f>
        <v>0</v>
      </c>
    </row>
    <row r="68" spans="1:3" s="116" customFormat="1" ht="12" customHeight="1" x14ac:dyDescent="0.2">
      <c r="A68" s="478" t="s">
        <v>339</v>
      </c>
      <c r="B68" s="459" t="s">
        <v>309</v>
      </c>
      <c r="C68" s="335"/>
    </row>
    <row r="69" spans="1:3" s="116" customFormat="1" ht="12" customHeight="1" x14ac:dyDescent="0.2">
      <c r="A69" s="479" t="s">
        <v>348</v>
      </c>
      <c r="B69" s="460" t="s">
        <v>310</v>
      </c>
      <c r="C69" s="335"/>
    </row>
    <row r="70" spans="1:3" s="116" customFormat="1" ht="12" customHeight="1" thickBot="1" x14ac:dyDescent="0.25">
      <c r="A70" s="480" t="s">
        <v>349</v>
      </c>
      <c r="B70" s="568" t="s">
        <v>311</v>
      </c>
      <c r="C70" s="335"/>
    </row>
    <row r="71" spans="1:3" s="116" customFormat="1" ht="12" customHeight="1" thickBot="1" x14ac:dyDescent="0.2">
      <c r="A71" s="481" t="s">
        <v>312</v>
      </c>
      <c r="B71" s="325" t="s">
        <v>313</v>
      </c>
      <c r="C71" s="330">
        <f>SUM(C72:C75)</f>
        <v>0</v>
      </c>
    </row>
    <row r="72" spans="1:3" s="116" customFormat="1" ht="12" customHeight="1" x14ac:dyDescent="0.2">
      <c r="A72" s="478" t="s">
        <v>149</v>
      </c>
      <c r="B72" s="459" t="s">
        <v>314</v>
      </c>
      <c r="C72" s="335"/>
    </row>
    <row r="73" spans="1:3" s="116" customFormat="1" ht="12" customHeight="1" x14ac:dyDescent="0.2">
      <c r="A73" s="479" t="s">
        <v>150</v>
      </c>
      <c r="B73" s="460" t="s">
        <v>315</v>
      </c>
      <c r="C73" s="335"/>
    </row>
    <row r="74" spans="1:3" s="116" customFormat="1" ht="12" customHeight="1" x14ac:dyDescent="0.2">
      <c r="A74" s="479" t="s">
        <v>340</v>
      </c>
      <c r="B74" s="460" t="s">
        <v>316</v>
      </c>
      <c r="C74" s="335"/>
    </row>
    <row r="75" spans="1:3" s="116" customFormat="1" ht="12" customHeight="1" thickBot="1" x14ac:dyDescent="0.25">
      <c r="A75" s="480" t="s">
        <v>341</v>
      </c>
      <c r="B75" s="461" t="s">
        <v>317</v>
      </c>
      <c r="C75" s="335"/>
    </row>
    <row r="76" spans="1:3" s="116" customFormat="1" ht="12" customHeight="1" thickBot="1" x14ac:dyDescent="0.2">
      <c r="A76" s="481" t="s">
        <v>318</v>
      </c>
      <c r="B76" s="325" t="s">
        <v>319</v>
      </c>
      <c r="C76" s="330">
        <f>SUM(C77:C78)</f>
        <v>0</v>
      </c>
    </row>
    <row r="77" spans="1:3" s="116" customFormat="1" ht="12" customHeight="1" x14ac:dyDescent="0.2">
      <c r="A77" s="478" t="s">
        <v>342</v>
      </c>
      <c r="B77" s="459" t="s">
        <v>320</v>
      </c>
      <c r="C77" s="335"/>
    </row>
    <row r="78" spans="1:3" s="116" customFormat="1" ht="12" customHeight="1" thickBot="1" x14ac:dyDescent="0.25">
      <c r="A78" s="480" t="s">
        <v>343</v>
      </c>
      <c r="B78" s="461" t="s">
        <v>321</v>
      </c>
      <c r="C78" s="335"/>
    </row>
    <row r="79" spans="1:3" s="115" customFormat="1" ht="12" customHeight="1" thickBot="1" x14ac:dyDescent="0.2">
      <c r="A79" s="481" t="s">
        <v>322</v>
      </c>
      <c r="B79" s="325" t="s">
        <v>323</v>
      </c>
      <c r="C79" s="330">
        <f>SUM(C80:C82)</f>
        <v>0</v>
      </c>
    </row>
    <row r="80" spans="1:3" s="116" customFormat="1" ht="12" customHeight="1" x14ac:dyDescent="0.2">
      <c r="A80" s="478" t="s">
        <v>344</v>
      </c>
      <c r="B80" s="459" t="s">
        <v>324</v>
      </c>
      <c r="C80" s="335"/>
    </row>
    <row r="81" spans="1:3" s="116" customFormat="1" ht="12" customHeight="1" x14ac:dyDescent="0.2">
      <c r="A81" s="479" t="s">
        <v>345</v>
      </c>
      <c r="B81" s="460" t="s">
        <v>325</v>
      </c>
      <c r="C81" s="335"/>
    </row>
    <row r="82" spans="1:3" s="116" customFormat="1" ht="12" customHeight="1" thickBot="1" x14ac:dyDescent="0.25">
      <c r="A82" s="480" t="s">
        <v>346</v>
      </c>
      <c r="B82" s="461" t="s">
        <v>326</v>
      </c>
      <c r="C82" s="335"/>
    </row>
    <row r="83" spans="1:3" s="116" customFormat="1" ht="12" customHeight="1" thickBot="1" x14ac:dyDescent="0.2">
      <c r="A83" s="481" t="s">
        <v>327</v>
      </c>
      <c r="B83" s="325" t="s">
        <v>347</v>
      </c>
      <c r="C83" s="330">
        <f>SUM(C84:C87)</f>
        <v>0</v>
      </c>
    </row>
    <row r="84" spans="1:3" s="116" customFormat="1" ht="12" customHeight="1" x14ac:dyDescent="0.2">
      <c r="A84" s="482" t="s">
        <v>328</v>
      </c>
      <c r="B84" s="459" t="s">
        <v>329</v>
      </c>
      <c r="C84" s="335"/>
    </row>
    <row r="85" spans="1:3" s="116" customFormat="1" ht="12" customHeight="1" x14ac:dyDescent="0.2">
      <c r="A85" s="483" t="s">
        <v>330</v>
      </c>
      <c r="B85" s="460" t="s">
        <v>331</v>
      </c>
      <c r="C85" s="335"/>
    </row>
    <row r="86" spans="1:3" s="116" customFormat="1" ht="12" customHeight="1" x14ac:dyDescent="0.2">
      <c r="A86" s="483" t="s">
        <v>332</v>
      </c>
      <c r="B86" s="460" t="s">
        <v>333</v>
      </c>
      <c r="C86" s="335"/>
    </row>
    <row r="87" spans="1:3" s="115" customFormat="1" ht="12" customHeight="1" thickBot="1" x14ac:dyDescent="0.25">
      <c r="A87" s="484" t="s">
        <v>334</v>
      </c>
      <c r="B87" s="461" t="s">
        <v>335</v>
      </c>
      <c r="C87" s="335"/>
    </row>
    <row r="88" spans="1:3" s="115" customFormat="1" ht="12" customHeight="1" thickBot="1" x14ac:dyDescent="0.2">
      <c r="A88" s="481" t="s">
        <v>336</v>
      </c>
      <c r="B88" s="325" t="s">
        <v>478</v>
      </c>
      <c r="C88" s="505"/>
    </row>
    <row r="89" spans="1:3" s="115" customFormat="1" ht="12" customHeight="1" thickBot="1" x14ac:dyDescent="0.2">
      <c r="A89" s="481" t="s">
        <v>508</v>
      </c>
      <c r="B89" s="325" t="s">
        <v>337</v>
      </c>
      <c r="C89" s="505"/>
    </row>
    <row r="90" spans="1:3" s="115" customFormat="1" ht="12" customHeight="1" thickBot="1" x14ac:dyDescent="0.2">
      <c r="A90" s="481" t="s">
        <v>509</v>
      </c>
      <c r="B90" s="466" t="s">
        <v>481</v>
      </c>
      <c r="C90" s="336">
        <f>+C67+C71+C76+C79+C83+C89+C88</f>
        <v>0</v>
      </c>
    </row>
    <row r="91" spans="1:3" s="115" customFormat="1" ht="12" customHeight="1" thickBot="1" x14ac:dyDescent="0.2">
      <c r="A91" s="485" t="s">
        <v>510</v>
      </c>
      <c r="B91" s="467" t="s">
        <v>511</v>
      </c>
      <c r="C91" s="336">
        <f>+C66+C90</f>
        <v>0</v>
      </c>
    </row>
    <row r="92" spans="1:3" s="116" customFormat="1" ht="15" customHeight="1" thickBot="1" x14ac:dyDescent="0.25">
      <c r="A92" s="267"/>
      <c r="B92" s="268"/>
      <c r="C92" s="400"/>
    </row>
    <row r="93" spans="1:3" s="75" customFormat="1" ht="16.5" customHeight="1" thickBot="1" x14ac:dyDescent="0.25">
      <c r="A93" s="271"/>
      <c r="B93" s="272" t="s">
        <v>57</v>
      </c>
      <c r="C93" s="402"/>
    </row>
    <row r="94" spans="1:3" s="117" customFormat="1" ht="12" customHeight="1" thickBot="1" x14ac:dyDescent="0.25">
      <c r="A94" s="451" t="s">
        <v>18</v>
      </c>
      <c r="B94" s="31" t="s">
        <v>515</v>
      </c>
      <c r="C94" s="329">
        <f>+C95+C96+C97+C98+C99+C112</f>
        <v>0</v>
      </c>
    </row>
    <row r="95" spans="1:3" ht="12" customHeight="1" x14ac:dyDescent="0.2">
      <c r="A95" s="486" t="s">
        <v>99</v>
      </c>
      <c r="B95" s="10" t="s">
        <v>49</v>
      </c>
      <c r="C95" s="331"/>
    </row>
    <row r="96" spans="1:3" ht="12" customHeight="1" x14ac:dyDescent="0.2">
      <c r="A96" s="479" t="s">
        <v>100</v>
      </c>
      <c r="B96" s="8" t="s">
        <v>180</v>
      </c>
      <c r="C96" s="332"/>
    </row>
    <row r="97" spans="1:3" ht="12" customHeight="1" x14ac:dyDescent="0.2">
      <c r="A97" s="479" t="s">
        <v>101</v>
      </c>
      <c r="B97" s="8" t="s">
        <v>141</v>
      </c>
      <c r="C97" s="334"/>
    </row>
    <row r="98" spans="1:3" ht="12" customHeight="1" x14ac:dyDescent="0.2">
      <c r="A98" s="479" t="s">
        <v>102</v>
      </c>
      <c r="B98" s="11" t="s">
        <v>181</v>
      </c>
      <c r="C98" s="334"/>
    </row>
    <row r="99" spans="1:3" ht="12" customHeight="1" x14ac:dyDescent="0.2">
      <c r="A99" s="479" t="s">
        <v>113</v>
      </c>
      <c r="B99" s="19" t="s">
        <v>182</v>
      </c>
      <c r="C99" s="334"/>
    </row>
    <row r="100" spans="1:3" ht="12" customHeight="1" x14ac:dyDescent="0.2">
      <c r="A100" s="479" t="s">
        <v>103</v>
      </c>
      <c r="B100" s="8" t="s">
        <v>512</v>
      </c>
      <c r="C100" s="334"/>
    </row>
    <row r="101" spans="1:3" ht="12" customHeight="1" x14ac:dyDescent="0.2">
      <c r="A101" s="479" t="s">
        <v>104</v>
      </c>
      <c r="B101" s="167" t="s">
        <v>444</v>
      </c>
      <c r="C101" s="334"/>
    </row>
    <row r="102" spans="1:3" ht="12" customHeight="1" x14ac:dyDescent="0.2">
      <c r="A102" s="479" t="s">
        <v>114</v>
      </c>
      <c r="B102" s="167" t="s">
        <v>443</v>
      </c>
      <c r="C102" s="334"/>
    </row>
    <row r="103" spans="1:3" ht="12" customHeight="1" x14ac:dyDescent="0.2">
      <c r="A103" s="479" t="s">
        <v>115</v>
      </c>
      <c r="B103" s="167" t="s">
        <v>353</v>
      </c>
      <c r="C103" s="334"/>
    </row>
    <row r="104" spans="1:3" ht="12" customHeight="1" x14ac:dyDescent="0.2">
      <c r="A104" s="479" t="s">
        <v>116</v>
      </c>
      <c r="B104" s="168" t="s">
        <v>354</v>
      </c>
      <c r="C104" s="334"/>
    </row>
    <row r="105" spans="1:3" ht="12" customHeight="1" x14ac:dyDescent="0.2">
      <c r="A105" s="479" t="s">
        <v>117</v>
      </c>
      <c r="B105" s="168" t="s">
        <v>355</v>
      </c>
      <c r="C105" s="334"/>
    </row>
    <row r="106" spans="1:3" ht="12" customHeight="1" x14ac:dyDescent="0.2">
      <c r="A106" s="479" t="s">
        <v>119</v>
      </c>
      <c r="B106" s="167" t="s">
        <v>356</v>
      </c>
      <c r="C106" s="334"/>
    </row>
    <row r="107" spans="1:3" ht="12" customHeight="1" x14ac:dyDescent="0.2">
      <c r="A107" s="479" t="s">
        <v>183</v>
      </c>
      <c r="B107" s="167" t="s">
        <v>357</v>
      </c>
      <c r="C107" s="334"/>
    </row>
    <row r="108" spans="1:3" ht="12" customHeight="1" x14ac:dyDescent="0.2">
      <c r="A108" s="479" t="s">
        <v>351</v>
      </c>
      <c r="B108" s="168" t="s">
        <v>358</v>
      </c>
      <c r="C108" s="334"/>
    </row>
    <row r="109" spans="1:3" ht="12" customHeight="1" x14ac:dyDescent="0.2">
      <c r="A109" s="487" t="s">
        <v>352</v>
      </c>
      <c r="B109" s="169" t="s">
        <v>359</v>
      </c>
      <c r="C109" s="334"/>
    </row>
    <row r="110" spans="1:3" ht="12" customHeight="1" x14ac:dyDescent="0.2">
      <c r="A110" s="479" t="s">
        <v>441</v>
      </c>
      <c r="B110" s="169" t="s">
        <v>360</v>
      </c>
      <c r="C110" s="334"/>
    </row>
    <row r="111" spans="1:3" ht="12" customHeight="1" x14ac:dyDescent="0.2">
      <c r="A111" s="479" t="s">
        <v>442</v>
      </c>
      <c r="B111" s="168" t="s">
        <v>361</v>
      </c>
      <c r="C111" s="332"/>
    </row>
    <row r="112" spans="1:3" ht="12" customHeight="1" x14ac:dyDescent="0.2">
      <c r="A112" s="479" t="s">
        <v>446</v>
      </c>
      <c r="B112" s="11" t="s">
        <v>50</v>
      </c>
      <c r="C112" s="332"/>
    </row>
    <row r="113" spans="1:3" ht="12" customHeight="1" x14ac:dyDescent="0.2">
      <c r="A113" s="480" t="s">
        <v>447</v>
      </c>
      <c r="B113" s="8" t="s">
        <v>513</v>
      </c>
      <c r="C113" s="334"/>
    </row>
    <row r="114" spans="1:3" ht="12" customHeight="1" thickBot="1" x14ac:dyDescent="0.25">
      <c r="A114" s="488" t="s">
        <v>448</v>
      </c>
      <c r="B114" s="170" t="s">
        <v>514</v>
      </c>
      <c r="C114" s="338"/>
    </row>
    <row r="115" spans="1:3" ht="12" customHeight="1" thickBot="1" x14ac:dyDescent="0.25">
      <c r="A115" s="36" t="s">
        <v>19</v>
      </c>
      <c r="B115" s="30" t="s">
        <v>362</v>
      </c>
      <c r="C115" s="330">
        <f>+C116+C118+C120</f>
        <v>0</v>
      </c>
    </row>
    <row r="116" spans="1:3" ht="12" customHeight="1" x14ac:dyDescent="0.2">
      <c r="A116" s="478" t="s">
        <v>105</v>
      </c>
      <c r="B116" s="8" t="s">
        <v>225</v>
      </c>
      <c r="C116" s="333"/>
    </row>
    <row r="117" spans="1:3" ht="12" customHeight="1" x14ac:dyDescent="0.2">
      <c r="A117" s="478" t="s">
        <v>106</v>
      </c>
      <c r="B117" s="12" t="s">
        <v>366</v>
      </c>
      <c r="C117" s="333"/>
    </row>
    <row r="118" spans="1:3" ht="12" customHeight="1" x14ac:dyDescent="0.2">
      <c r="A118" s="478" t="s">
        <v>107</v>
      </c>
      <c r="B118" s="12" t="s">
        <v>184</v>
      </c>
      <c r="C118" s="332"/>
    </row>
    <row r="119" spans="1:3" ht="12" customHeight="1" x14ac:dyDescent="0.2">
      <c r="A119" s="478" t="s">
        <v>108</v>
      </c>
      <c r="B119" s="12" t="s">
        <v>367</v>
      </c>
      <c r="C119" s="297"/>
    </row>
    <row r="120" spans="1:3" ht="12" customHeight="1" x14ac:dyDescent="0.2">
      <c r="A120" s="478" t="s">
        <v>109</v>
      </c>
      <c r="B120" s="327" t="s">
        <v>228</v>
      </c>
      <c r="C120" s="297"/>
    </row>
    <row r="121" spans="1:3" ht="12" customHeight="1" x14ac:dyDescent="0.2">
      <c r="A121" s="478" t="s">
        <v>118</v>
      </c>
      <c r="B121" s="326" t="s">
        <v>431</v>
      </c>
      <c r="C121" s="297"/>
    </row>
    <row r="122" spans="1:3" ht="12" customHeight="1" x14ac:dyDescent="0.2">
      <c r="A122" s="478" t="s">
        <v>120</v>
      </c>
      <c r="B122" s="455" t="s">
        <v>372</v>
      </c>
      <c r="C122" s="297"/>
    </row>
    <row r="123" spans="1:3" ht="12" customHeight="1" x14ac:dyDescent="0.2">
      <c r="A123" s="478" t="s">
        <v>185</v>
      </c>
      <c r="B123" s="168" t="s">
        <v>355</v>
      </c>
      <c r="C123" s="297"/>
    </row>
    <row r="124" spans="1:3" ht="12" customHeight="1" x14ac:dyDescent="0.2">
      <c r="A124" s="478" t="s">
        <v>186</v>
      </c>
      <c r="B124" s="168" t="s">
        <v>371</v>
      </c>
      <c r="C124" s="297"/>
    </row>
    <row r="125" spans="1:3" ht="12" customHeight="1" x14ac:dyDescent="0.2">
      <c r="A125" s="478" t="s">
        <v>187</v>
      </c>
      <c r="B125" s="168" t="s">
        <v>370</v>
      </c>
      <c r="C125" s="297"/>
    </row>
    <row r="126" spans="1:3" ht="12" customHeight="1" x14ac:dyDescent="0.2">
      <c r="A126" s="478" t="s">
        <v>363</v>
      </c>
      <c r="B126" s="168" t="s">
        <v>358</v>
      </c>
      <c r="C126" s="297"/>
    </row>
    <row r="127" spans="1:3" ht="12" customHeight="1" x14ac:dyDescent="0.2">
      <c r="A127" s="478" t="s">
        <v>364</v>
      </c>
      <c r="B127" s="168" t="s">
        <v>369</v>
      </c>
      <c r="C127" s="297"/>
    </row>
    <row r="128" spans="1:3" ht="12" customHeight="1" thickBot="1" x14ac:dyDescent="0.25">
      <c r="A128" s="487" t="s">
        <v>365</v>
      </c>
      <c r="B128" s="168" t="s">
        <v>368</v>
      </c>
      <c r="C128" s="299"/>
    </row>
    <row r="129" spans="1:11" ht="12" customHeight="1" thickBot="1" x14ac:dyDescent="0.25">
      <c r="A129" s="36" t="s">
        <v>20</v>
      </c>
      <c r="B129" s="150" t="s">
        <v>451</v>
      </c>
      <c r="C129" s="330">
        <f>+C94+C115</f>
        <v>0</v>
      </c>
    </row>
    <row r="130" spans="1:11" ht="12" customHeight="1" thickBot="1" x14ac:dyDescent="0.25">
      <c r="A130" s="36" t="s">
        <v>21</v>
      </c>
      <c r="B130" s="150" t="s">
        <v>452</v>
      </c>
      <c r="C130" s="330">
        <f>+C131+C132+C133</f>
        <v>0</v>
      </c>
    </row>
    <row r="131" spans="1:11" s="117" customFormat="1" ht="12" customHeight="1" x14ac:dyDescent="0.2">
      <c r="A131" s="478" t="s">
        <v>267</v>
      </c>
      <c r="B131" s="9" t="s">
        <v>518</v>
      </c>
      <c r="C131" s="297"/>
    </row>
    <row r="132" spans="1:11" ht="12" customHeight="1" x14ac:dyDescent="0.2">
      <c r="A132" s="478" t="s">
        <v>268</v>
      </c>
      <c r="B132" s="9" t="s">
        <v>460</v>
      </c>
      <c r="C132" s="297"/>
    </row>
    <row r="133" spans="1:11" ht="12" customHeight="1" thickBot="1" x14ac:dyDescent="0.25">
      <c r="A133" s="487" t="s">
        <v>269</v>
      </c>
      <c r="B133" s="7" t="s">
        <v>517</v>
      </c>
      <c r="C133" s="297"/>
    </row>
    <row r="134" spans="1:11" ht="12" customHeight="1" thickBot="1" x14ac:dyDescent="0.25">
      <c r="A134" s="36" t="s">
        <v>22</v>
      </c>
      <c r="B134" s="150" t="s">
        <v>453</v>
      </c>
      <c r="C134" s="330">
        <f>+C135+C136+C137+C138+C139+C140</f>
        <v>0</v>
      </c>
    </row>
    <row r="135" spans="1:11" ht="12" customHeight="1" x14ac:dyDescent="0.2">
      <c r="A135" s="478" t="s">
        <v>92</v>
      </c>
      <c r="B135" s="9" t="s">
        <v>462</v>
      </c>
      <c r="C135" s="297"/>
    </row>
    <row r="136" spans="1:11" ht="12" customHeight="1" x14ac:dyDescent="0.2">
      <c r="A136" s="478" t="s">
        <v>93</v>
      </c>
      <c r="B136" s="9" t="s">
        <v>454</v>
      </c>
      <c r="C136" s="297"/>
    </row>
    <row r="137" spans="1:11" ht="12" customHeight="1" x14ac:dyDescent="0.2">
      <c r="A137" s="478" t="s">
        <v>94</v>
      </c>
      <c r="B137" s="9" t="s">
        <v>455</v>
      </c>
      <c r="C137" s="297"/>
    </row>
    <row r="138" spans="1:11" ht="12" customHeight="1" x14ac:dyDescent="0.2">
      <c r="A138" s="478" t="s">
        <v>172</v>
      </c>
      <c r="B138" s="9" t="s">
        <v>516</v>
      </c>
      <c r="C138" s="297"/>
    </row>
    <row r="139" spans="1:11" ht="12" customHeight="1" x14ac:dyDescent="0.2">
      <c r="A139" s="478" t="s">
        <v>173</v>
      </c>
      <c r="B139" s="9" t="s">
        <v>457</v>
      </c>
      <c r="C139" s="297"/>
    </row>
    <row r="140" spans="1:11" s="117" customFormat="1" ht="12" customHeight="1" thickBot="1" x14ac:dyDescent="0.25">
      <c r="A140" s="487" t="s">
        <v>174</v>
      </c>
      <c r="B140" s="7" t="s">
        <v>458</v>
      </c>
      <c r="C140" s="297"/>
    </row>
    <row r="141" spans="1:11" ht="12" customHeight="1" thickBot="1" x14ac:dyDescent="0.25">
      <c r="A141" s="36" t="s">
        <v>23</v>
      </c>
      <c r="B141" s="150" t="s">
        <v>544</v>
      </c>
      <c r="C141" s="336">
        <f>+C142+C143+C145+C146+C144</f>
        <v>0</v>
      </c>
      <c r="K141" s="279"/>
    </row>
    <row r="142" spans="1:11" x14ac:dyDescent="0.2">
      <c r="A142" s="478" t="s">
        <v>95</v>
      </c>
      <c r="B142" s="9" t="s">
        <v>373</v>
      </c>
      <c r="C142" s="297"/>
    </row>
    <row r="143" spans="1:11" ht="12" customHeight="1" x14ac:dyDescent="0.2">
      <c r="A143" s="478" t="s">
        <v>96</v>
      </c>
      <c r="B143" s="9" t="s">
        <v>374</v>
      </c>
      <c r="C143" s="297"/>
    </row>
    <row r="144" spans="1:11" s="117" customFormat="1" ht="12" customHeight="1" x14ac:dyDescent="0.2">
      <c r="A144" s="478" t="s">
        <v>287</v>
      </c>
      <c r="B144" s="9" t="s">
        <v>543</v>
      </c>
      <c r="C144" s="297"/>
    </row>
    <row r="145" spans="1:3" s="117" customFormat="1" ht="12" customHeight="1" x14ac:dyDescent="0.2">
      <c r="A145" s="478" t="s">
        <v>288</v>
      </c>
      <c r="B145" s="9" t="s">
        <v>467</v>
      </c>
      <c r="C145" s="297"/>
    </row>
    <row r="146" spans="1:3" s="117" customFormat="1" ht="12" customHeight="1" thickBot="1" x14ac:dyDescent="0.25">
      <c r="A146" s="487" t="s">
        <v>289</v>
      </c>
      <c r="B146" s="7" t="s">
        <v>393</v>
      </c>
      <c r="C146" s="297"/>
    </row>
    <row r="147" spans="1:3" s="117" customFormat="1" ht="12" customHeight="1" thickBot="1" x14ac:dyDescent="0.25">
      <c r="A147" s="36" t="s">
        <v>24</v>
      </c>
      <c r="B147" s="150" t="s">
        <v>468</v>
      </c>
      <c r="C147" s="339">
        <f>+C148+C149+C150+C151+C152</f>
        <v>0</v>
      </c>
    </row>
    <row r="148" spans="1:3" s="117" customFormat="1" ht="12" customHeight="1" x14ac:dyDescent="0.2">
      <c r="A148" s="478" t="s">
        <v>97</v>
      </c>
      <c r="B148" s="9" t="s">
        <v>463</v>
      </c>
      <c r="C148" s="297"/>
    </row>
    <row r="149" spans="1:3" s="117" customFormat="1" ht="12" customHeight="1" x14ac:dyDescent="0.2">
      <c r="A149" s="478" t="s">
        <v>98</v>
      </c>
      <c r="B149" s="9" t="s">
        <v>470</v>
      </c>
      <c r="C149" s="297"/>
    </row>
    <row r="150" spans="1:3" s="117" customFormat="1" ht="12" customHeight="1" x14ac:dyDescent="0.2">
      <c r="A150" s="478" t="s">
        <v>299</v>
      </c>
      <c r="B150" s="9" t="s">
        <v>465</v>
      </c>
      <c r="C150" s="297"/>
    </row>
    <row r="151" spans="1:3" ht="12.75" customHeight="1" x14ac:dyDescent="0.2">
      <c r="A151" s="478" t="s">
        <v>300</v>
      </c>
      <c r="B151" s="9" t="s">
        <v>519</v>
      </c>
      <c r="C151" s="297"/>
    </row>
    <row r="152" spans="1:3" ht="12.75" customHeight="1" thickBot="1" x14ac:dyDescent="0.25">
      <c r="A152" s="487" t="s">
        <v>469</v>
      </c>
      <c r="B152" s="7" t="s">
        <v>472</v>
      </c>
      <c r="C152" s="299"/>
    </row>
    <row r="153" spans="1:3" ht="12.75" customHeight="1" thickBot="1" x14ac:dyDescent="0.25">
      <c r="A153" s="539" t="s">
        <v>25</v>
      </c>
      <c r="B153" s="150" t="s">
        <v>473</v>
      </c>
      <c r="C153" s="339"/>
    </row>
    <row r="154" spans="1:3" ht="12" customHeight="1" thickBot="1" x14ac:dyDescent="0.25">
      <c r="A154" s="539" t="s">
        <v>26</v>
      </c>
      <c r="B154" s="150" t="s">
        <v>474</v>
      </c>
      <c r="C154" s="339"/>
    </row>
    <row r="155" spans="1:3" ht="15" customHeight="1" thickBot="1" x14ac:dyDescent="0.25">
      <c r="A155" s="36" t="s">
        <v>27</v>
      </c>
      <c r="B155" s="150" t="s">
        <v>476</v>
      </c>
      <c r="C155" s="469">
        <f>+C130+C134+C141+C147+C153+C154</f>
        <v>0</v>
      </c>
    </row>
    <row r="156" spans="1:3" ht="13.5" thickBot="1" x14ac:dyDescent="0.25">
      <c r="A156" s="489" t="s">
        <v>28</v>
      </c>
      <c r="B156" s="421" t="s">
        <v>475</v>
      </c>
      <c r="C156" s="469">
        <f>+C129+C155</f>
        <v>0</v>
      </c>
    </row>
    <row r="157" spans="1:3" ht="15" customHeight="1" thickBot="1" x14ac:dyDescent="0.25">
      <c r="A157" s="429"/>
      <c r="B157" s="430"/>
      <c r="C157" s="431"/>
    </row>
    <row r="158" spans="1:3" ht="14.25" customHeight="1" thickBot="1" x14ac:dyDescent="0.25">
      <c r="A158" s="276" t="s">
        <v>520</v>
      </c>
      <c r="B158" s="277"/>
      <c r="C158" s="147"/>
    </row>
    <row r="159" spans="1:3" ht="13.5" thickBot="1" x14ac:dyDescent="0.25">
      <c r="A159" s="276" t="s">
        <v>203</v>
      </c>
      <c r="B159" s="277"/>
      <c r="C159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 melléklet a 4/",LEFT(ÖSSZEFÜGGÉSEK!A5,4),". (II. 20.) önkormányzati rendelethez")</f>
        <v>9.2.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687354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'9.2.1. sz. mell HIV'!C9+'9.2.2. sz.  mell HIV'!C9+'9.2.3. sz. mell HIV'!C9</f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'9.2.1. sz. mell HIV'!C10+'9.2.2. sz.  mell HIV'!C10+'9.2.3. sz. mell HIV'!C10</f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'9.2.1. sz. mell HIV'!C11+'9.2.2. sz.  mell HIV'!C11+'9.2.3. sz. mell HIV'!C11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'9.2.1. sz. mell HIV'!C12+'9.2.2. sz.  mell HIV'!C12+'9.2.3. sz. mell HIV'!C12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'9.2.1. sz. mell HIV'!C13+'9.2.2. sz.  mell HIV'!C13+'9.2.3. sz. mell HIV'!C13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'9.2.1. sz. mell HIV'!C14+'9.2.2. sz.  mell HIV'!C14+'9.2.3. sz. mell HIV'!C14</f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'9.2.1. sz. mell HIV'!C15+'9.2.2. sz.  mell HIV'!C15+'9.2.3. sz. mell HIV'!C15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'9.2.1. sz. mell HIV'!C16+'9.2.2. sz.  mell HIV'!C16+'9.2.3. sz. mell HIV'!C16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'9.2.1. sz. mell HIV'!C17+'9.2.2. sz.  mell HIV'!C17+'9.2.3. sz. mell HIV'!C17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'9.2.1. sz. mell HIV'!C18+'9.2.2. sz.  mell HIV'!C18+'9.2.3. sz. mell HIV'!C18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'9.2.1. sz. mell HIV'!C19+'9.2.2. sz.  mell HIV'!C19+'9.2.3. sz. mell HIV'!C19</f>
        <v>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'9.2.1. sz. mell HIV'!C21+'9.2.2. sz.  mell HIV'!C21+'9.2.3. sz. mell HIV'!C21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'9.2.1. sz. mell HIV'!C22+'9.2.2. sz.  mell HIV'!C22+'9.2.3. sz. mell HIV'!C22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'9.2.1. sz. mell HIV'!C23+'9.2.2. sz.  mell HIV'!C23+'9.2.3. sz. mell HIV'!C23</f>
        <v>0</v>
      </c>
    </row>
    <row r="24" spans="1:3" s="502" customFormat="1" ht="12" customHeight="1" thickBot="1" x14ac:dyDescent="0.25">
      <c r="A24" s="573" t="s">
        <v>108</v>
      </c>
      <c r="B24" s="12" t="s">
        <v>522</v>
      </c>
      <c r="C24" s="349">
        <f>'9.2.1. sz. mell HIV'!C24+'9.2.2. sz.  mell HIV'!C24+'9.2.3. sz. mell HIV'!C24</f>
        <v>0</v>
      </c>
    </row>
    <row r="25" spans="1:3" s="502" customFormat="1" ht="12" customHeight="1" thickBot="1" x14ac:dyDescent="0.25">
      <c r="A25" s="230" t="s">
        <v>20</v>
      </c>
      <c r="B25" s="571" t="s">
        <v>171</v>
      </c>
      <c r="C25" s="576">
        <f>'9.2.1. sz. mell HIV'!C25+'9.2.2. sz.  mell HIV'!C25+'9.2.3. sz. mell HIV'!C25</f>
        <v>50000</v>
      </c>
    </row>
    <row r="26" spans="1:3" s="502" customFormat="1" ht="12" customHeight="1" thickBot="1" x14ac:dyDescent="0.25">
      <c r="A26" s="574" t="s">
        <v>21</v>
      </c>
      <c r="B26" s="575" t="s">
        <v>523</v>
      </c>
      <c r="C26" s="572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>
        <f>'9.2.1. sz. mell HIV'!C27+'9.2.2. sz.  mell HIV'!C27+'9.2.3. sz. mell HIV'!C27</f>
        <v>0</v>
      </c>
    </row>
    <row r="28" spans="1:3" s="502" customFormat="1" ht="12" customHeight="1" x14ac:dyDescent="0.2">
      <c r="A28" s="495" t="s">
        <v>268</v>
      </c>
      <c r="B28" s="496" t="s">
        <v>405</v>
      </c>
      <c r="C28" s="94">
        <f>'9.2.1. sz. mell HIV'!C28+'9.2.2. sz.  mell HIV'!C28+'9.2.3. sz. mell HIV'!C28</f>
        <v>0</v>
      </c>
    </row>
    <row r="29" spans="1:3" s="502" customFormat="1" ht="12" customHeight="1" x14ac:dyDescent="0.2">
      <c r="A29" s="495" t="s">
        <v>269</v>
      </c>
      <c r="B29" s="497" t="s">
        <v>408</v>
      </c>
      <c r="C29" s="94">
        <f>'9.2.1. sz. mell HIV'!C29+'9.2.2. sz.  mell HIV'!C29+'9.2.3. sz. mell HIV'!C29</f>
        <v>0</v>
      </c>
    </row>
    <row r="30" spans="1:3" s="502" customFormat="1" ht="12" customHeight="1" thickBot="1" x14ac:dyDescent="0.25">
      <c r="A30" s="494" t="s">
        <v>270</v>
      </c>
      <c r="B30" s="166" t="s">
        <v>524</v>
      </c>
      <c r="C30" s="94">
        <f>'9.2.1. sz. mell HIV'!C30+'9.2.2. sz.  mell HIV'!C30+'9.2.3. sz. mell HIV'!C30</f>
        <v>0</v>
      </c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>
        <f>'9.2.1. sz. mell HIV'!C32+'9.2.2. sz.  mell HIV'!C32+'9.2.3. sz. mell HIV'!C32</f>
        <v>0</v>
      </c>
    </row>
    <row r="33" spans="1:3" s="502" customFormat="1" ht="12" customHeight="1" x14ac:dyDescent="0.2">
      <c r="A33" s="495" t="s">
        <v>93</v>
      </c>
      <c r="B33" s="497" t="s">
        <v>291</v>
      </c>
      <c r="C33" s="94">
        <f>'9.2.1. sz. mell HIV'!C33+'9.2.2. sz.  mell HIV'!C33+'9.2.3. sz. mell HIV'!C33</f>
        <v>0</v>
      </c>
    </row>
    <row r="34" spans="1:3" s="502" customFormat="1" ht="12" customHeight="1" thickBot="1" x14ac:dyDescent="0.25">
      <c r="A34" s="494" t="s">
        <v>94</v>
      </c>
      <c r="B34" s="166" t="s">
        <v>292</v>
      </c>
      <c r="C34" s="94">
        <f>'9.2.1. sz. mell HIV'!C34+'9.2.2. sz.  mell HIV'!C34+'9.2.3. sz. mell HIV'!C34</f>
        <v>0</v>
      </c>
    </row>
    <row r="35" spans="1:3" s="407" customFormat="1" ht="12" customHeight="1" thickBot="1" x14ac:dyDescent="0.25">
      <c r="A35" s="230" t="s">
        <v>23</v>
      </c>
      <c r="B35" s="150" t="s">
        <v>378</v>
      </c>
      <c r="C35" s="377">
        <f>'9.2.1. sz. mell HIV'!C35+'9.2.2. sz.  mell HIV'!C35+'9.2.3. sz. mell HIV'!C35</f>
        <v>0</v>
      </c>
    </row>
    <row r="36" spans="1:3" s="407" customFormat="1" ht="12" customHeight="1" thickBot="1" x14ac:dyDescent="0.25">
      <c r="A36" s="230" t="s">
        <v>24</v>
      </c>
      <c r="B36" s="150" t="s">
        <v>410</v>
      </c>
      <c r="C36" s="377">
        <f>'9.2.1. sz. mell HIV'!C36+'9.2.2. sz.  mell HIV'!C36+'9.2.3. sz. mell HIV'!C36</f>
        <v>0</v>
      </c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737354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122685518</v>
      </c>
    </row>
    <row r="39" spans="1:3" s="407" customFormat="1" ht="12" customHeight="1" x14ac:dyDescent="0.2">
      <c r="A39" s="495" t="s">
        <v>413</v>
      </c>
      <c r="B39" s="496" t="s">
        <v>235</v>
      </c>
      <c r="C39" s="94">
        <f>'9.2.1. sz. mell HIV'!C39+'9.2.2. sz.  mell HIV'!C39+'9.2.3. sz. mell HIV'!C39</f>
        <v>0</v>
      </c>
    </row>
    <row r="40" spans="1:3" s="407" customFormat="1" ht="12" customHeight="1" x14ac:dyDescent="0.2">
      <c r="A40" s="495" t="s">
        <v>414</v>
      </c>
      <c r="B40" s="497" t="s">
        <v>2</v>
      </c>
      <c r="C40" s="94">
        <f>'9.2.1. sz. mell HIV'!C40+'9.2.2. sz.  mell HIV'!C40+'9.2.3. sz. mell HIV'!C40</f>
        <v>0</v>
      </c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'9.2.1. sz. mell HIV'!C41+'9.2.2. sz.  mell HIV'!C41+'9.2.3. sz. mell HIV'!C41</f>
        <v>122685518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123422872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122914872</v>
      </c>
    </row>
    <row r="47" spans="1:3" ht="12" customHeight="1" x14ac:dyDescent="0.2">
      <c r="A47" s="494" t="s">
        <v>99</v>
      </c>
      <c r="B47" s="9" t="s">
        <v>49</v>
      </c>
      <c r="C47" s="94">
        <f>'9.2.1. sz. mell HIV'!C47+'9.2.2. sz.  mell HIV'!C47+'9.2.3. sz. mell HIV'!C47</f>
        <v>82472810</v>
      </c>
    </row>
    <row r="48" spans="1:3" ht="12" customHeight="1" x14ac:dyDescent="0.2">
      <c r="A48" s="494" t="s">
        <v>100</v>
      </c>
      <c r="B48" s="8" t="s">
        <v>180</v>
      </c>
      <c r="C48" s="94">
        <f>'9.2.1. sz. mell HIV'!C48+'9.2.2. sz.  mell HIV'!C48+'9.2.3. sz. mell HIV'!C48</f>
        <v>17499732</v>
      </c>
    </row>
    <row r="49" spans="1:3" ht="12" customHeight="1" x14ac:dyDescent="0.2">
      <c r="A49" s="494" t="s">
        <v>101</v>
      </c>
      <c r="B49" s="8" t="s">
        <v>141</v>
      </c>
      <c r="C49" s="94">
        <f>'9.2.1. sz. mell HIV'!C49+'9.2.2. sz.  mell HIV'!C49+'9.2.3. sz. mell HIV'!C49</f>
        <v>22942330</v>
      </c>
    </row>
    <row r="50" spans="1:3" ht="12" customHeight="1" x14ac:dyDescent="0.2">
      <c r="A50" s="494" t="s">
        <v>102</v>
      </c>
      <c r="B50" s="8" t="s">
        <v>181</v>
      </c>
      <c r="C50" s="94">
        <f>'9.2.1. sz. mell HIV'!C50+'9.2.2. sz.  mell HIV'!C50+'9.2.3. sz. mell HIV'!C50</f>
        <v>0</v>
      </c>
    </row>
    <row r="51" spans="1:3" ht="12" customHeight="1" thickBot="1" x14ac:dyDescent="0.25">
      <c r="A51" s="494" t="s">
        <v>148</v>
      </c>
      <c r="B51" s="8" t="s">
        <v>182</v>
      </c>
      <c r="C51" s="94">
        <f>'9.2.1. sz. mell HIV'!C51+'9.2.2. sz.  mell HIV'!C51+'9.2.3. sz. mell HIV'!C51</f>
        <v>0</v>
      </c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f>'9.2.1. sz. mell HIV'!C53+'9.2.2. sz.  mell HIV'!C53+'9.2.3. sz. mell HIV'!C53</f>
        <v>508000</v>
      </c>
    </row>
    <row r="54" spans="1:3" ht="12" customHeight="1" x14ac:dyDescent="0.2">
      <c r="A54" s="494" t="s">
        <v>106</v>
      </c>
      <c r="B54" s="8" t="s">
        <v>184</v>
      </c>
      <c r="C54" s="94">
        <f>'9.2.1. sz. mell HIV'!C54+'9.2.2. sz.  mell HIV'!C54+'9.2.3. sz. mell HIV'!C54</f>
        <v>0</v>
      </c>
    </row>
    <row r="55" spans="1:3" ht="12" customHeight="1" x14ac:dyDescent="0.2">
      <c r="A55" s="494" t="s">
        <v>107</v>
      </c>
      <c r="B55" s="8" t="s">
        <v>58</v>
      </c>
      <c r="C55" s="94">
        <f>'9.2.1. sz. mell HIV'!C55+'9.2.2. sz.  mell HIV'!C55+'9.2.3. sz. mell HIV'!C55</f>
        <v>0</v>
      </c>
    </row>
    <row r="56" spans="1:3" ht="12" customHeight="1" thickBot="1" x14ac:dyDescent="0.25">
      <c r="A56" s="494" t="s">
        <v>108</v>
      </c>
      <c r="B56" s="8" t="s">
        <v>525</v>
      </c>
      <c r="C56" s="94">
        <f>'9.2.1. sz. mell HIV'!C56+'9.2.2. sz.  mell HIV'!C56+'9.2.3. sz. mell HIV'!C56</f>
        <v>0</v>
      </c>
    </row>
    <row r="57" spans="1:3" ht="12" customHeight="1" thickBot="1" x14ac:dyDescent="0.25">
      <c r="A57" s="230" t="s">
        <v>20</v>
      </c>
      <c r="B57" s="150" t="s">
        <v>12</v>
      </c>
      <c r="C57" s="377"/>
    </row>
    <row r="58" spans="1:3" ht="15" customHeight="1" thickBot="1" x14ac:dyDescent="0.25">
      <c r="A58" s="230" t="s">
        <v>21</v>
      </c>
      <c r="B58" s="273" t="s">
        <v>532</v>
      </c>
      <c r="C58" s="403">
        <f>+C46+C52+C57</f>
        <v>123422872</v>
      </c>
    </row>
    <row r="59" spans="1:3" ht="13.5" thickBot="1" x14ac:dyDescent="0.25">
      <c r="C59" s="404"/>
    </row>
    <row r="60" spans="1:3" ht="15" customHeight="1" thickBot="1" x14ac:dyDescent="0.25">
      <c r="A60" s="276" t="s">
        <v>520</v>
      </c>
      <c r="B60" s="277"/>
      <c r="C60" s="147">
        <f>'9.2.1. sz. mell HIV'!C60+'9.2.2. sz.  mell HIV'!C60+'9.2.3. sz. mell HIV'!C60</f>
        <v>24</v>
      </c>
    </row>
    <row r="61" spans="1:3" ht="14.25" customHeight="1" thickBot="1" x14ac:dyDescent="0.25">
      <c r="A61" s="276" t="s">
        <v>203</v>
      </c>
      <c r="B61" s="277"/>
      <c r="C61" s="147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view="pageLayout" zoomScaleNormal="130" zoomScaleSheetLayoutView="100" workbookViewId="0">
      <selection activeCell="E10" sqref="E10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69" t="s">
        <v>15</v>
      </c>
      <c r="B1" s="669"/>
      <c r="C1" s="669"/>
    </row>
    <row r="2" spans="1:3" ht="15.95" customHeight="1" thickBot="1" x14ac:dyDescent="0.3">
      <c r="A2" s="670" t="s">
        <v>152</v>
      </c>
      <c r="B2" s="670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540934975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 sz. mell ÖNK'!C10</f>
        <v>105196033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 sz. mell ÖNK'!C11</f>
        <v>191749404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 sz. mell ÖNK'!C12</f>
        <v>9988396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 sz. mell ÖNK'!C13</f>
        <v>31809055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 sz. mell ÖNK'!C14</f>
        <v>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288004053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 sz. mell ÖNK'!C20+'9.4. sz. mell ILMKS'!C23+'9.3. sz. mell GAM'!C23</f>
        <v>288004053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 sz. mell ÖNK'!C21</f>
        <v>60826054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319680797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 sz. mell ÖNK'!C23</f>
        <v>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 sz. mell ÖNK'!C27</f>
        <v>319680797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 sz. mell ÖNK'!C28</f>
        <v>319680797</v>
      </c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SUM(C27:C34)+'9.2. sz. mell HIV'!C25</f>
        <v>108475000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 sz. mell ÖNK'!C31</f>
        <v>15000</v>
      </c>
    </row>
    <row r="29" spans="1:3" s="458" customFormat="1" ht="12" customHeight="1" x14ac:dyDescent="0.2">
      <c r="A29" s="14" t="s">
        <v>269</v>
      </c>
      <c r="B29" s="460" t="s">
        <v>712</v>
      </c>
      <c r="C29" s="333">
        <f>'9.1.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 sz. mell ÖNK'!C33</f>
        <v>80000000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 sz. mell ÖNK'!C36</f>
        <v>0</v>
      </c>
    </row>
    <row r="34" spans="1:3" s="458" customFormat="1" ht="12" customHeight="1" thickBot="1" x14ac:dyDescent="0.25">
      <c r="A34" s="16" t="s">
        <v>713</v>
      </c>
      <c r="B34" s="564" t="s">
        <v>273</v>
      </c>
      <c r="C34" s="333">
        <f>'9.1.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93585387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 sz. mell ÖNK'!C39+'9.2. sz. mell HIV'!C9+'9.3. sz. mell GAM'!C9+'9.4. sz. mell ILMKS'!C9+'9.5. sz. mell OVI'!C9</f>
        <v>1015000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 sz. mell ÖNK'!C40+'9.2. sz. mell HIV'!C10+'9.3. sz. mell GAM'!C10+'9.4. sz. mell ILMKS'!C10+'9.5. sz. mell OVI'!C10</f>
        <v>51493937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 sz. mell ÖNK'!C41+'9.2. sz. mell HIV'!C11+'9.3. sz. mell GAM'!C11+'9.4. sz. mell ILMKS'!C11+'9.5.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 sz. mell ÖNK'!C42+'9.2. sz. mell HIV'!C12+'9.3. sz. mell GAM'!C12+'9.4. sz. mell ILMKS'!C12+'9.5.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 sz. mell ÖNK'!C43+'9.2. sz. mell HIV'!C13+'9.3. sz. mell GAM'!C13+'9.4. sz. mell ILMKS'!C13+'9.5. sz. mell OVI'!C13</f>
        <v>6851475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 sz. mell ÖNK'!C44+'9.2. sz. mell HIV'!C14+'9.3. sz. mell GAM'!C14+'9.4. sz. mell ILMKS'!C14+'9.5. sz. mell OVI'!C14</f>
        <v>30899975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 sz. mell ÖNK'!C45+'9.2. sz. mell HIV'!C15+'9.3. sz. mell GAM'!C15+'9.4. sz. mell ILMKS'!C15+'9.5. sz. mell OVI'!C15</f>
        <v>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 sz. mell ÖNK'!C46+'9.2. sz. mell HIV'!C16+'9.3. sz. mell GAM'!C16+'9.4. sz. mell ILMKS'!C16+'9.5.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 sz. mell ÖNK'!C47+'9.2. sz. mell HIV'!C17+'9.3. sz. mell GAM'!C17+'9.4. sz. mell ILMKS'!C17+'9.5.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 sz. mell ÖNK'!C48+'9.2. sz. mell HIV'!C18+'9.3. sz. mell GAM'!C18+'9.4. sz. mell ILMKS'!C18+'9.5. sz. mell OVI'!C18</f>
        <v>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 sz. mell ÖNK'!C49+'9.2. sz. mell HIV'!C19+'9.3. sz. mell GAM'!C19+'9.4. sz. mell ILMKS'!C19+'9.5. sz. mell OVI'!C19</f>
        <v>0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70643198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 sz. mell ÖNK'!C51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 sz. mell ÖNK'!C52</f>
        <v>70643198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 sz. mell ÖNK'!C53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504">
        <f>'9.1. sz. mell ÖNK'!C54</f>
        <v>0</v>
      </c>
    </row>
    <row r="52" spans="1:3" s="458" customFormat="1" ht="12" customHeight="1" thickBot="1" x14ac:dyDescent="0.25">
      <c r="A52" s="16" t="s">
        <v>289</v>
      </c>
      <c r="B52" s="327" t="s">
        <v>294</v>
      </c>
      <c r="C52" s="504">
        <f>'9.1. sz. mell ÖNK'!C55</f>
        <v>0</v>
      </c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 sz. mell ÖNK'!C65</f>
        <v>0</v>
      </c>
    </row>
    <row r="63" spans="1:3" s="458" customFormat="1" ht="12" customHeight="1" thickBot="1" x14ac:dyDescent="0.25">
      <c r="A63" s="536" t="s">
        <v>479</v>
      </c>
      <c r="B63" s="21" t="s">
        <v>306</v>
      </c>
      <c r="C63" s="336">
        <f>+C5+C12+C19+C26+C35+C47+C53+C58</f>
        <v>1423133410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30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679547492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 sz. mell HIV'!C39+'9.3. sz. mell GAM'!C38+'9.4. sz. mell ILMKS'!C38+'9.5. sz. mell OVI'!C38</f>
        <v>679547492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 sz. mell HIV'!C40+'9.3. sz. mell GAM'!C39+'9.4. sz. mell ILMKS'!C39+'9.5. sz. mell OVI'!C39</f>
        <v>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695947492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2119080902</v>
      </c>
    </row>
    <row r="89" spans="1:3" s="458" customFormat="1" ht="36" customHeight="1" x14ac:dyDescent="0.2">
      <c r="A89" s="5"/>
      <c r="B89" s="6"/>
      <c r="C89" s="337"/>
    </row>
    <row r="90" spans="1:3" ht="16.5" customHeight="1" x14ac:dyDescent="0.25">
      <c r="A90" s="669" t="s">
        <v>47</v>
      </c>
      <c r="B90" s="669"/>
      <c r="C90" s="669"/>
    </row>
    <row r="91" spans="1:3" s="468" customFormat="1" ht="16.5" customHeight="1" thickBot="1" x14ac:dyDescent="0.3">
      <c r="A91" s="671" t="s">
        <v>153</v>
      </c>
      <c r="B91" s="671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1238592305</v>
      </c>
    </row>
    <row r="95" spans="1:3" ht="12" customHeight="1" x14ac:dyDescent="0.25">
      <c r="A95" s="17" t="s">
        <v>99</v>
      </c>
      <c r="B95" s="10" t="s">
        <v>49</v>
      </c>
      <c r="C95" s="578">
        <f>'9.1. sz. mell ÖNK'!C95+'9.2. sz. mell HIV'!C47+'9.3. sz. mell GAM'!C46+'9.4. sz. mell ILMKS'!C46+'9.5. sz. mell OVI'!C46+'9.6. sz. mell CSSK'!C46</f>
        <v>527518956</v>
      </c>
    </row>
    <row r="96" spans="1:3" ht="12" customHeight="1" x14ac:dyDescent="0.25">
      <c r="A96" s="14" t="s">
        <v>100</v>
      </c>
      <c r="B96" s="8" t="s">
        <v>180</v>
      </c>
      <c r="C96" s="332">
        <f>'9.1. sz. mell ÖNK'!C96+'9.2. sz. mell HIV'!C48+'9.3. sz. mell GAM'!C47+'9.4. sz. mell ILMKS'!C47+'9.5. sz. mell OVI'!C47+'9.6. sz. mell CSSK'!C47</f>
        <v>90702091</v>
      </c>
    </row>
    <row r="97" spans="1:3" ht="12" customHeight="1" x14ac:dyDescent="0.25">
      <c r="A97" s="14" t="s">
        <v>101</v>
      </c>
      <c r="B97" s="8" t="s">
        <v>141</v>
      </c>
      <c r="C97" s="579">
        <f>'9.1. sz. mell ÖNK'!C97+'9.2. sz. mell HIV'!C49+'9.3. sz. mell GAM'!C48+'9.4. sz. mell ILMKS'!C48+'9.5. sz. mell OVI'!C48+'9.6. sz. mell CSSK'!C48</f>
        <v>501267667</v>
      </c>
    </row>
    <row r="98" spans="1:3" ht="12" customHeight="1" x14ac:dyDescent="0.25">
      <c r="A98" s="14" t="s">
        <v>102</v>
      </c>
      <c r="B98" s="11" t="s">
        <v>181</v>
      </c>
      <c r="C98" s="332">
        <f>'9.1. sz. mell ÖNK'!C99+'9.2. sz. mell HIV'!C50+'9.3. sz. mell GAM'!C49+'9.4. sz. mell ILMKS'!C49+'9.5. sz. mell OVI'!C49+'9.6.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579">
        <f>'9.1. sz. mell ÖNK'!C100+'9.2. sz. mell HIV'!C51+'9.3. sz. mell GAM'!C50+'9.4. sz. mell ILMKS'!C50+'9.5. sz. mell OVI'!C50+'9.6. sz. mell CSSK'!C50</f>
        <v>26630000</v>
      </c>
    </row>
    <row r="100" spans="1:3" ht="12" customHeight="1" x14ac:dyDescent="0.25">
      <c r="A100" s="14" t="s">
        <v>103</v>
      </c>
      <c r="B100" s="8" t="s">
        <v>445</v>
      </c>
      <c r="C100" s="334">
        <f>'9.1. sz. mell ÖNK'!C101</f>
        <v>0</v>
      </c>
    </row>
    <row r="101" spans="1:3" ht="12" customHeight="1" x14ac:dyDescent="0.25">
      <c r="A101" s="14" t="s">
        <v>104</v>
      </c>
      <c r="B101" s="169" t="s">
        <v>444</v>
      </c>
      <c r="C101" s="334">
        <f>'9.1.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 sz. mell ÖNK'!C112</f>
        <v>25030000</v>
      </c>
    </row>
    <row r="112" spans="1:3" ht="12" customHeight="1" x14ac:dyDescent="0.25">
      <c r="A112" s="14" t="s">
        <v>446</v>
      </c>
      <c r="B112" s="11" t="s">
        <v>50</v>
      </c>
      <c r="C112" s="334">
        <f>'9.1. sz. mell ÖNK'!C113</f>
        <v>70523591</v>
      </c>
    </row>
    <row r="113" spans="1:3" ht="12" customHeight="1" x14ac:dyDescent="0.25">
      <c r="A113" s="14" t="s">
        <v>447</v>
      </c>
      <c r="B113" s="8" t="s">
        <v>449</v>
      </c>
      <c r="C113" s="334">
        <f>'9.1. sz. mell ÖNK'!C114</f>
        <v>0</v>
      </c>
    </row>
    <row r="114" spans="1:3" ht="12" customHeight="1" thickBot="1" x14ac:dyDescent="0.3">
      <c r="A114" s="16" t="s">
        <v>448</v>
      </c>
      <c r="B114" s="589" t="s">
        <v>450</v>
      </c>
      <c r="C114" s="334">
        <f>'9.1. sz. mell ÖNK'!C115</f>
        <v>70523591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856576457</v>
      </c>
    </row>
    <row r="116" spans="1:3" ht="12" customHeight="1" x14ac:dyDescent="0.25">
      <c r="A116" s="15" t="s">
        <v>105</v>
      </c>
      <c r="B116" s="8" t="s">
        <v>225</v>
      </c>
      <c r="C116" s="333">
        <f>'9.1. sz. mell ÖNK'!C117+'9.2. sz. mell HIV'!C53+'9.3. sz. mell GAM'!C52+'9.4. sz. mell ILMKS'!C52+'9.5. sz. mell OVI'!C52+'9.6. sz. mell CSSK'!C52</f>
        <v>841998158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3">
        <f>'9.1. sz. mell ÖNK'!C119+'9.2. sz. mell HIV'!C54+'9.3. sz. mell GAM'!C53+'9.4. sz. mell ILMKS'!C53+'9.5. sz. mell OVI'!C53+'9.6. sz. mell CSSK'!C53</f>
        <v>10509250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333">
        <f>'9.1. sz. mell ÖNK'!C121+'9.2. sz. mell HIV'!C55+'9.3. sz. mell GAM'!C54+'9.4. sz. mell ILMKS'!C54+'9.5.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>
        <f>'9.1. sz. mell ÖNK'!C129</f>
        <v>4069049</v>
      </c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2095168762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>
        <f>'9.1.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5"/>
    </row>
    <row r="153" spans="1:9" ht="12" customHeight="1" thickBot="1" x14ac:dyDescent="0.3">
      <c r="A153" s="20" t="s">
        <v>26</v>
      </c>
      <c r="B153" s="150" t="s">
        <v>474</v>
      </c>
      <c r="C153" s="535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2119080902</v>
      </c>
    </row>
    <row r="156" spans="1:9" ht="7.5" customHeight="1" x14ac:dyDescent="0.25"/>
    <row r="157" spans="1:9" x14ac:dyDescent="0.25">
      <c r="A157" s="672" t="s">
        <v>375</v>
      </c>
      <c r="B157" s="672"/>
      <c r="C157" s="672"/>
    </row>
    <row r="158" spans="1:9" ht="15" customHeight="1" thickBot="1" x14ac:dyDescent="0.3">
      <c r="A158" s="670" t="s">
        <v>154</v>
      </c>
      <c r="B158" s="670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-672035352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672035352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dőlt"&amp;11 1.1. melléklet a 4/2018. (II. 20.)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+CONCATENATE("9.2.1. melléklet a 4/",LEFT(ÖSSZEFÜGGÉSEK!A5,4),". (II. 20.) önkormányzati rendelethez")</f>
        <v>9.2.1.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687354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v>541224</v>
      </c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146130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v>50000</v>
      </c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737354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97920053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97920053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98657407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98149407</v>
      </c>
    </row>
    <row r="47" spans="1:3" ht="12" customHeight="1" x14ac:dyDescent="0.2">
      <c r="A47" s="494" t="s">
        <v>99</v>
      </c>
      <c r="B47" s="9" t="s">
        <v>49</v>
      </c>
      <c r="C47" s="94">
        <v>63591599</v>
      </c>
    </row>
    <row r="48" spans="1:3" ht="12" customHeight="1" x14ac:dyDescent="0.2">
      <c r="A48" s="494" t="s">
        <v>100</v>
      </c>
      <c r="B48" s="8" t="s">
        <v>180</v>
      </c>
      <c r="C48" s="97">
        <v>12627978</v>
      </c>
    </row>
    <row r="49" spans="1:3" ht="12" customHeight="1" x14ac:dyDescent="0.2">
      <c r="A49" s="494" t="s">
        <v>101</v>
      </c>
      <c r="B49" s="8" t="s">
        <v>141</v>
      </c>
      <c r="C49" s="97">
        <v>21929830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508000</v>
      </c>
    </row>
    <row r="53" spans="1:3" s="503" customFormat="1" ht="12" customHeight="1" x14ac:dyDescent="0.2">
      <c r="A53" s="494" t="s">
        <v>105</v>
      </c>
      <c r="B53" s="9" t="s">
        <v>225</v>
      </c>
      <c r="C53" s="94">
        <v>508000</v>
      </c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98657407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19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+CONCATENATE("9.2.2. melléklet a 4/",LEFT(ÖSSZEFÜGGÉSEK!A5,4),". (II. 20.) önkormányzati rendelethez")</f>
        <v>9.2.2.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0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/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0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0</v>
      </c>
    </row>
    <row r="47" spans="1:3" ht="12" customHeight="1" x14ac:dyDescent="0.2">
      <c r="A47" s="494" t="s">
        <v>99</v>
      </c>
      <c r="B47" s="9" t="s">
        <v>49</v>
      </c>
      <c r="C47" s="94"/>
    </row>
    <row r="48" spans="1:3" ht="12" customHeight="1" x14ac:dyDescent="0.2">
      <c r="A48" s="494" t="s">
        <v>100</v>
      </c>
      <c r="B48" s="8" t="s">
        <v>180</v>
      </c>
      <c r="C48" s="97"/>
    </row>
    <row r="49" spans="1:3" ht="12" customHeight="1" x14ac:dyDescent="0.2">
      <c r="A49" s="494" t="s">
        <v>101</v>
      </c>
      <c r="B49" s="8" t="s">
        <v>141</v>
      </c>
      <c r="C49" s="97"/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0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/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+CONCATENATE("9.2.3. melléklet a 4/",LEFT(ÖSSZEFÜGGÉSEK!A5,4),". (II. 20.) önkormányzati rendelethez")</f>
        <v>9.2.3.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570</v>
      </c>
      <c r="C2" s="405" t="s">
        <v>59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522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523</v>
      </c>
      <c r="C26" s="350">
        <f>+C27+C28+C29</f>
        <v>0</v>
      </c>
    </row>
    <row r="27" spans="1:3" s="502" customFormat="1" ht="12" customHeight="1" x14ac:dyDescent="0.2">
      <c r="A27" s="495" t="s">
        <v>267</v>
      </c>
      <c r="B27" s="496" t="s">
        <v>262</v>
      </c>
      <c r="C27" s="94"/>
    </row>
    <row r="28" spans="1:3" s="502" customFormat="1" ht="12" customHeight="1" x14ac:dyDescent="0.2">
      <c r="A28" s="495" t="s">
        <v>268</v>
      </c>
      <c r="B28" s="496" t="s">
        <v>405</v>
      </c>
      <c r="C28" s="348"/>
    </row>
    <row r="29" spans="1:3" s="502" customFormat="1" ht="12" customHeight="1" x14ac:dyDescent="0.2">
      <c r="A29" s="495" t="s">
        <v>269</v>
      </c>
      <c r="B29" s="497" t="s">
        <v>408</v>
      </c>
      <c r="C29" s="348"/>
    </row>
    <row r="30" spans="1:3" s="502" customFormat="1" ht="12" customHeight="1" thickBot="1" x14ac:dyDescent="0.25">
      <c r="A30" s="494" t="s">
        <v>270</v>
      </c>
      <c r="B30" s="166" t="s">
        <v>524</v>
      </c>
      <c r="C30" s="101"/>
    </row>
    <row r="31" spans="1:3" s="502" customFormat="1" ht="12" customHeight="1" thickBot="1" x14ac:dyDescent="0.25">
      <c r="A31" s="230" t="s">
        <v>22</v>
      </c>
      <c r="B31" s="150" t="s">
        <v>409</v>
      </c>
      <c r="C31" s="350">
        <f>+C32+C33+C34</f>
        <v>0</v>
      </c>
    </row>
    <row r="32" spans="1:3" s="502" customFormat="1" ht="12" customHeight="1" x14ac:dyDescent="0.2">
      <c r="A32" s="495" t="s">
        <v>92</v>
      </c>
      <c r="B32" s="496" t="s">
        <v>290</v>
      </c>
      <c r="C32" s="94"/>
    </row>
    <row r="33" spans="1:3" s="502" customFormat="1" ht="12" customHeight="1" x14ac:dyDescent="0.2">
      <c r="A33" s="495" t="s">
        <v>93</v>
      </c>
      <c r="B33" s="497" t="s">
        <v>291</v>
      </c>
      <c r="C33" s="351"/>
    </row>
    <row r="34" spans="1:3" s="502" customFormat="1" ht="12" customHeight="1" thickBot="1" x14ac:dyDescent="0.25">
      <c r="A34" s="494" t="s">
        <v>94</v>
      </c>
      <c r="B34" s="166" t="s">
        <v>292</v>
      </c>
      <c r="C34" s="101"/>
    </row>
    <row r="35" spans="1:3" s="407" customFormat="1" ht="12" customHeight="1" thickBot="1" x14ac:dyDescent="0.25">
      <c r="A35" s="230" t="s">
        <v>23</v>
      </c>
      <c r="B35" s="150" t="s">
        <v>378</v>
      </c>
      <c r="C35" s="377"/>
    </row>
    <row r="36" spans="1:3" s="407" customFormat="1" ht="12" customHeight="1" thickBot="1" x14ac:dyDescent="0.25">
      <c r="A36" s="230" t="s">
        <v>24</v>
      </c>
      <c r="B36" s="150" t="s">
        <v>410</v>
      </c>
      <c r="C36" s="398"/>
    </row>
    <row r="37" spans="1:3" s="407" customFormat="1" ht="12" customHeight="1" thickBot="1" x14ac:dyDescent="0.25">
      <c r="A37" s="223" t="s">
        <v>25</v>
      </c>
      <c r="B37" s="150" t="s">
        <v>411</v>
      </c>
      <c r="C37" s="399">
        <f>+C8+C20+C25+C26+C31+C35+C36</f>
        <v>0</v>
      </c>
    </row>
    <row r="38" spans="1:3" s="407" customFormat="1" ht="12" customHeight="1" thickBot="1" x14ac:dyDescent="0.25">
      <c r="A38" s="265" t="s">
        <v>26</v>
      </c>
      <c r="B38" s="150" t="s">
        <v>412</v>
      </c>
      <c r="C38" s="399">
        <f>+C39+C40+C41</f>
        <v>24765465</v>
      </c>
    </row>
    <row r="39" spans="1:3" s="407" customFormat="1" ht="12" customHeight="1" x14ac:dyDescent="0.2">
      <c r="A39" s="495" t="s">
        <v>413</v>
      </c>
      <c r="B39" s="496" t="s">
        <v>235</v>
      </c>
      <c r="C39" s="94"/>
    </row>
    <row r="40" spans="1:3" s="407" customFormat="1" ht="12" customHeight="1" x14ac:dyDescent="0.2">
      <c r="A40" s="495" t="s">
        <v>414</v>
      </c>
      <c r="B40" s="497" t="s">
        <v>2</v>
      </c>
      <c r="C40" s="351"/>
    </row>
    <row r="41" spans="1:3" s="502" customFormat="1" ht="12" customHeight="1" thickBot="1" x14ac:dyDescent="0.25">
      <c r="A41" s="494" t="s">
        <v>415</v>
      </c>
      <c r="B41" s="166" t="s">
        <v>416</v>
      </c>
      <c r="C41" s="101">
        <f>C58-C37</f>
        <v>24765465</v>
      </c>
    </row>
    <row r="42" spans="1:3" s="502" customFormat="1" ht="15" customHeight="1" thickBot="1" x14ac:dyDescent="0.25">
      <c r="A42" s="265" t="s">
        <v>27</v>
      </c>
      <c r="B42" s="266" t="s">
        <v>417</v>
      </c>
      <c r="C42" s="402">
        <f>+C37+C38</f>
        <v>24765465</v>
      </c>
    </row>
    <row r="43" spans="1:3" s="502" customFormat="1" ht="15" customHeight="1" x14ac:dyDescent="0.2">
      <c r="A43" s="267"/>
      <c r="B43" s="268"/>
      <c r="C43" s="400"/>
    </row>
    <row r="44" spans="1:3" ht="13.5" thickBot="1" x14ac:dyDescent="0.25">
      <c r="A44" s="269"/>
      <c r="B44" s="270"/>
      <c r="C44" s="401"/>
    </row>
    <row r="45" spans="1:3" s="501" customFormat="1" ht="16.5" customHeight="1" thickBot="1" x14ac:dyDescent="0.25">
      <c r="A45" s="271"/>
      <c r="B45" s="272" t="s">
        <v>57</v>
      </c>
      <c r="C45" s="402"/>
    </row>
    <row r="46" spans="1:3" s="503" customFormat="1" ht="12" customHeight="1" thickBot="1" x14ac:dyDescent="0.25">
      <c r="A46" s="230" t="s">
        <v>18</v>
      </c>
      <c r="B46" s="150" t="s">
        <v>418</v>
      </c>
      <c r="C46" s="350">
        <f>SUM(C47:C51)</f>
        <v>24765465</v>
      </c>
    </row>
    <row r="47" spans="1:3" ht="12" customHeight="1" x14ac:dyDescent="0.2">
      <c r="A47" s="494" t="s">
        <v>99</v>
      </c>
      <c r="B47" s="9" t="s">
        <v>49</v>
      </c>
      <c r="C47" s="94">
        <f>18681211+200000</f>
        <v>18881211</v>
      </c>
    </row>
    <row r="48" spans="1:3" ht="12" customHeight="1" x14ac:dyDescent="0.2">
      <c r="A48" s="494" t="s">
        <v>100</v>
      </c>
      <c r="B48" s="8" t="s">
        <v>180</v>
      </c>
      <c r="C48" s="97">
        <f>4671754+200000</f>
        <v>4871754</v>
      </c>
    </row>
    <row r="49" spans="1:3" ht="12" customHeight="1" x14ac:dyDescent="0.2">
      <c r="A49" s="494" t="s">
        <v>101</v>
      </c>
      <c r="B49" s="8" t="s">
        <v>141</v>
      </c>
      <c r="C49" s="97">
        <f>812500+200000</f>
        <v>1012500</v>
      </c>
    </row>
    <row r="50" spans="1:3" ht="12" customHeight="1" x14ac:dyDescent="0.2">
      <c r="A50" s="494" t="s">
        <v>102</v>
      </c>
      <c r="B50" s="8" t="s">
        <v>181</v>
      </c>
      <c r="C50" s="97"/>
    </row>
    <row r="51" spans="1:3" ht="12" customHeight="1" thickBot="1" x14ac:dyDescent="0.25">
      <c r="A51" s="494" t="s">
        <v>148</v>
      </c>
      <c r="B51" s="8" t="s">
        <v>182</v>
      </c>
      <c r="C51" s="97"/>
    </row>
    <row r="52" spans="1:3" ht="12" customHeight="1" thickBot="1" x14ac:dyDescent="0.25">
      <c r="A52" s="230" t="s">
        <v>19</v>
      </c>
      <c r="B52" s="150" t="s">
        <v>419</v>
      </c>
      <c r="C52" s="350">
        <f>SUM(C53:C55)</f>
        <v>0</v>
      </c>
    </row>
    <row r="53" spans="1:3" s="503" customFormat="1" ht="12" customHeight="1" x14ac:dyDescent="0.2">
      <c r="A53" s="494" t="s">
        <v>105</v>
      </c>
      <c r="B53" s="9" t="s">
        <v>225</v>
      </c>
      <c r="C53" s="94"/>
    </row>
    <row r="54" spans="1:3" ht="12" customHeight="1" x14ac:dyDescent="0.2">
      <c r="A54" s="494" t="s">
        <v>106</v>
      </c>
      <c r="B54" s="8" t="s">
        <v>184</v>
      </c>
      <c r="C54" s="97"/>
    </row>
    <row r="55" spans="1:3" ht="12" customHeight="1" x14ac:dyDescent="0.2">
      <c r="A55" s="494" t="s">
        <v>107</v>
      </c>
      <c r="B55" s="8" t="s">
        <v>58</v>
      </c>
      <c r="C55" s="97"/>
    </row>
    <row r="56" spans="1:3" ht="12" customHeight="1" thickBot="1" x14ac:dyDescent="0.25">
      <c r="A56" s="494" t="s">
        <v>108</v>
      </c>
      <c r="B56" s="8" t="s">
        <v>525</v>
      </c>
      <c r="C56" s="97"/>
    </row>
    <row r="57" spans="1:3" ht="15" customHeight="1" thickBot="1" x14ac:dyDescent="0.25">
      <c r="A57" s="230" t="s">
        <v>20</v>
      </c>
      <c r="B57" s="150" t="s">
        <v>12</v>
      </c>
      <c r="C57" s="377"/>
    </row>
    <row r="58" spans="1:3" ht="13.5" thickBot="1" x14ac:dyDescent="0.25">
      <c r="A58" s="230" t="s">
        <v>21</v>
      </c>
      <c r="B58" s="273" t="s">
        <v>532</v>
      </c>
      <c r="C58" s="403">
        <f>+C46+C52+C57</f>
        <v>24765465</v>
      </c>
    </row>
    <row r="59" spans="1:3" ht="15" customHeight="1" thickBot="1" x14ac:dyDescent="0.25">
      <c r="C59" s="404"/>
    </row>
    <row r="60" spans="1:3" ht="14.25" customHeight="1" thickBot="1" x14ac:dyDescent="0.25">
      <c r="A60" s="276" t="s">
        <v>520</v>
      </c>
      <c r="B60" s="277"/>
      <c r="C60" s="147">
        <v>5</v>
      </c>
    </row>
    <row r="61" spans="1:3" ht="13.5" thickBot="1" x14ac:dyDescent="0.25">
      <c r="A61" s="276" t="s">
        <v>203</v>
      </c>
      <c r="B61" s="277"/>
      <c r="C61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 melléklet a 4/",LEFT(ÖSSZEFÜGGÉSEK!A5,4),". (II. 20.) önkormányzati rendelethez")</f>
        <v>9.3.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45394629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f>'9.3.1. sz. mell GAM'!C9+'9.3.2. sz. mell GAM'!C9+'9.3.3. sz. mell GAM'!C9</f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'9.3.1. sz. mell GAM'!C10+'9.3.2. sz. mell GAM'!C10+'9.3.3. sz. mell GAM'!C10</f>
        <v>28946658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f>'9.3.1. sz. mell GAM'!C11+'9.3.2. sz. mell GAM'!C11+'9.3.3. sz. mell GAM'!C11</f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'9.3.1. sz. mell GAM'!C12+'9.3.2. sz. mell GAM'!C12+'9.3.3. sz. mell GAM'!C12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48">
        <f>'9.3.1. sz. mell GAM'!C13+'9.3.2. sz. mell GAM'!C13+'9.3.3. sz. mell GAM'!C13</f>
        <v>6851475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'9.3.1. sz. mell GAM'!C14+'9.3.2. sz. mell GAM'!C14+'9.3.3. sz. mell GAM'!C14</f>
        <v>9071496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f>'9.3.1. sz. mell GAM'!C15+'9.3.2. sz. mell GAM'!C15+'9.3.3. sz. mell GAM'!C15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'9.3.1. sz. mell GAM'!C16+'9.3.2. sz. mell GAM'!C16+'9.3.3. sz. mell GAM'!C16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48">
        <f>'9.3.1. sz. mell GAM'!C17+'9.3.2. sz. mell GAM'!C17+'9.3.3. sz. mell GAM'!C17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'9.3.1. sz. mell GAM'!C18+'9.3.2. sz. mell GAM'!C18+'9.3.3. sz. mell GAM'!C18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'9.3.1. sz. mell GAM'!C19+'9.3.2. sz. mell GAM'!C19+'9.3.3. sz. mell GAM'!C19</f>
        <v>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2166000</v>
      </c>
    </row>
    <row r="21" spans="1:3" s="502" customFormat="1" ht="12" customHeight="1" x14ac:dyDescent="0.2">
      <c r="A21" s="494" t="s">
        <v>105</v>
      </c>
      <c r="B21" s="9" t="s">
        <v>257</v>
      </c>
      <c r="C21" s="348">
        <f>'9.3.1. sz. mell GAM'!C21+'9.3.2. sz. mell GAM'!C21+'9.3.3. sz. mell GAM'!C21</f>
        <v>0</v>
      </c>
    </row>
    <row r="22" spans="1:3" s="502" customFormat="1" ht="12" customHeight="1" x14ac:dyDescent="0.2">
      <c r="A22" s="494" t="s">
        <v>106</v>
      </c>
      <c r="B22" s="8" t="s">
        <v>405</v>
      </c>
      <c r="C22" s="348">
        <f>'9.3.1. sz. mell GAM'!C22+'9.3.2. sz. mell GAM'!C22+'9.3.3. sz. mell GAM'!C22</f>
        <v>0</v>
      </c>
    </row>
    <row r="23" spans="1:3" s="502" customFormat="1" ht="12" customHeight="1" x14ac:dyDescent="0.2">
      <c r="A23" s="494" t="s">
        <v>107</v>
      </c>
      <c r="B23" s="8" t="s">
        <v>406</v>
      </c>
      <c r="C23" s="348">
        <f>'9.3.1. sz. mell GAM'!C23+'9.3.2. sz. mell GAM'!C23+'9.3.3. sz. mell GAM'!C23</f>
        <v>2166000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>
        <f>'9.3.1. sz. mell GAM'!C24+'9.3.2. sz. mell GAM'!C24+'9.3.3. sz. mell GAM'!C24</f>
        <v>0</v>
      </c>
    </row>
    <row r="25" spans="1:3" s="502" customFormat="1" ht="12" customHeight="1" thickBot="1" x14ac:dyDescent="0.25">
      <c r="A25" s="230" t="s">
        <v>20</v>
      </c>
      <c r="B25" s="150" t="s">
        <v>171</v>
      </c>
      <c r="C25" s="377">
        <f>'9.3.1. sz. mell GAM'!C25+'9.3.2. sz. mell GAM'!C25+'9.3.3. sz. mell GAM'!C25</f>
        <v>0</v>
      </c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>
        <f>'9.3.1. sz. mell GAM'!C27+'9.3.2. sz. mell GAM'!C27+'9.3.3. sz. mell GAM'!C27</f>
        <v>0</v>
      </c>
    </row>
    <row r="28" spans="1:3" s="502" customFormat="1" ht="12" customHeight="1" x14ac:dyDescent="0.2">
      <c r="A28" s="495" t="s">
        <v>268</v>
      </c>
      <c r="B28" s="497" t="s">
        <v>408</v>
      </c>
      <c r="C28" s="94">
        <f>'9.3.1. sz. mell GAM'!C28+'9.3.2. sz. mell GAM'!C28+'9.3.3. sz. mell GAM'!C28</f>
        <v>0</v>
      </c>
    </row>
    <row r="29" spans="1:3" s="502" customFormat="1" ht="12" customHeight="1" thickBot="1" x14ac:dyDescent="0.25">
      <c r="A29" s="494" t="s">
        <v>269</v>
      </c>
      <c r="B29" s="166" t="s">
        <v>527</v>
      </c>
      <c r="C29" s="94">
        <f>'9.3.1. sz. mell GAM'!C29+'9.3.2. sz. mell GAM'!C29+'9.3.3. sz. mell GAM'!C29</f>
        <v>0</v>
      </c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>
        <f>'9.3.1. sz. mell GAM'!C31+'9.3.2. sz. mell GAM'!C31+'9.3.3. sz. mell GAM'!C31</f>
        <v>0</v>
      </c>
    </row>
    <row r="32" spans="1:3" s="502" customFormat="1" ht="12" customHeight="1" x14ac:dyDescent="0.2">
      <c r="A32" s="495" t="s">
        <v>93</v>
      </c>
      <c r="B32" s="497" t="s">
        <v>291</v>
      </c>
      <c r="C32" s="94">
        <f>'9.3.1. sz. mell GAM'!C32+'9.3.2. sz. mell GAM'!C32+'9.3.3. sz. mell GAM'!C32</f>
        <v>0</v>
      </c>
    </row>
    <row r="33" spans="1:3" s="502" customFormat="1" ht="12" customHeight="1" thickBot="1" x14ac:dyDescent="0.25">
      <c r="A33" s="494" t="s">
        <v>94</v>
      </c>
      <c r="B33" s="166" t="s">
        <v>292</v>
      </c>
      <c r="C33" s="94">
        <f>'9.3.1. sz. mell GAM'!C33+'9.3.2. sz. mell GAM'!C33+'9.3.3. sz. mell GAM'!C33</f>
        <v>0</v>
      </c>
    </row>
    <row r="34" spans="1:3" s="407" customFormat="1" ht="12" customHeight="1" thickBot="1" x14ac:dyDescent="0.25">
      <c r="A34" s="230" t="s">
        <v>23</v>
      </c>
      <c r="B34" s="150" t="s">
        <v>378</v>
      </c>
      <c r="C34" s="377">
        <f>'9.3.1. sz. mell GAM'!C34+'9.3.2. sz. mell GAM'!C34+'9.3.3. sz. mell GAM'!C34</f>
        <v>0</v>
      </c>
    </row>
    <row r="35" spans="1:3" s="407" customFormat="1" ht="12" customHeight="1" thickBot="1" x14ac:dyDescent="0.25">
      <c r="A35" s="230" t="s">
        <v>24</v>
      </c>
      <c r="B35" s="150" t="s">
        <v>410</v>
      </c>
      <c r="C35" s="377">
        <f>'9.3.1. sz. mell GAM'!C35+'9.3.2. sz. mell GAM'!C35+'9.3.3. sz. mell GAM'!C35</f>
        <v>0</v>
      </c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47560629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193662644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'9.3.1. sz. mell GAM'!C38+'9.3.2. sz. mell GAM'!C38+'9.3.3. sz. mell GAM'!C38</f>
        <v>0</v>
      </c>
    </row>
    <row r="39" spans="1:3" s="407" customFormat="1" ht="12" customHeight="1" x14ac:dyDescent="0.2">
      <c r="A39" s="495" t="s">
        <v>414</v>
      </c>
      <c r="B39" s="497" t="s">
        <v>2</v>
      </c>
      <c r="C39" s="94">
        <f>'9.3.1. sz. mell GAM'!C39+'9.3.2. sz. mell GAM'!C39+'9.3.3. sz. mell GAM'!C39</f>
        <v>0</v>
      </c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'9.3.1. sz. mell GAM'!C40+'9.3.2. sz. mell GAM'!C40+'9.3.3. sz. mell GAM'!C40</f>
        <v>193662644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241223273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240723273</v>
      </c>
    </row>
    <row r="46" spans="1:3" ht="12" customHeight="1" x14ac:dyDescent="0.2">
      <c r="A46" s="494" t="s">
        <v>99</v>
      </c>
      <c r="B46" s="9" t="s">
        <v>49</v>
      </c>
      <c r="C46" s="94">
        <f>'9.3.1. sz. mell GAM'!C46+'9.3.2. sz. mell GAM'!C46+'9.3.3. sz. mell GAM'!C46</f>
        <v>92818750</v>
      </c>
    </row>
    <row r="47" spans="1:3" ht="12" customHeight="1" x14ac:dyDescent="0.2">
      <c r="A47" s="494" t="s">
        <v>100</v>
      </c>
      <c r="B47" s="8" t="s">
        <v>180</v>
      </c>
      <c r="C47" s="94">
        <f>'9.3.1. sz. mell GAM'!C47+'9.3.2. sz. mell GAM'!C47+'9.3.3. sz. mell GAM'!C47</f>
        <v>17751550</v>
      </c>
    </row>
    <row r="48" spans="1:3" ht="12" customHeight="1" x14ac:dyDescent="0.2">
      <c r="A48" s="494" t="s">
        <v>101</v>
      </c>
      <c r="B48" s="8" t="s">
        <v>141</v>
      </c>
      <c r="C48" s="94">
        <f>'9.3.1. sz. mell GAM'!C48+'9.3.2. sz. mell GAM'!C48+'9.3.3. sz. mell GAM'!C48</f>
        <v>130152973</v>
      </c>
    </row>
    <row r="49" spans="1:3" ht="12" customHeight="1" x14ac:dyDescent="0.2">
      <c r="A49" s="494" t="s">
        <v>102</v>
      </c>
      <c r="B49" s="8" t="s">
        <v>181</v>
      </c>
      <c r="C49" s="94">
        <f>'9.3.1. sz. mell GAM'!C49+'9.3.2. sz. mell GAM'!C49+'9.3.3. sz. mell GAM'!C49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'9.3.1. sz. mell GAM'!C50+'9.3.2. sz. mell GAM'!C50+'9.3.3. sz. mell GAM'!C50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500000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'9.3.1. sz. mell GAM'!C52+'9.3.2. sz. mell GAM'!C52+'9.3.3. sz. mell GAM'!C52</f>
        <v>500000</v>
      </c>
    </row>
    <row r="53" spans="1:3" ht="12" customHeight="1" x14ac:dyDescent="0.2">
      <c r="A53" s="494" t="s">
        <v>106</v>
      </c>
      <c r="B53" s="8" t="s">
        <v>184</v>
      </c>
      <c r="C53" s="94">
        <f>'9.3.1. sz. mell GAM'!C53+'9.3.2. sz. mell GAM'!C53+'9.3.3. sz. mell GAM'!C53</f>
        <v>0</v>
      </c>
    </row>
    <row r="54" spans="1:3" ht="12" customHeight="1" x14ac:dyDescent="0.2">
      <c r="A54" s="494" t="s">
        <v>107</v>
      </c>
      <c r="B54" s="8" t="s">
        <v>58</v>
      </c>
      <c r="C54" s="94">
        <f>'9.3.1. sz. mell GAM'!C54+'9.3.2. sz. mell GAM'!C54+'9.3.3. sz. mell GAM'!C54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'9.3.1. sz. mell GAM'!C55+'9.3.2. sz. mell GAM'!C55+'9.3.3. sz. mell GAM'!C55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>
        <f>'9.3.1. sz. mell GAM'!C56+'9.3.2. sz. mell GAM'!C56+'9.3.3. sz. mell GAM'!C56</f>
        <v>0</v>
      </c>
    </row>
    <row r="57" spans="1:3" ht="13.5" thickBot="1" x14ac:dyDescent="0.25">
      <c r="A57" s="230" t="s">
        <v>21</v>
      </c>
      <c r="B57" s="273" t="s">
        <v>532</v>
      </c>
      <c r="C57" s="403">
        <f>+C45+C51+C56</f>
        <v>241223273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f>'9.3.1. sz. mell GAM'!C59+'9.3.2. sz. mell GAM'!C59+'9.3.3. sz. mell GAM'!C59</f>
        <v>49</v>
      </c>
    </row>
    <row r="60" spans="1:3" ht="13.5" thickBot="1" x14ac:dyDescent="0.25">
      <c r="A60" s="276" t="s">
        <v>203</v>
      </c>
      <c r="B60" s="277"/>
      <c r="C60" s="147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+CONCATENATE("9.3.1. melléklet a 4/",LEFT(ÖSSZEFÜGGÉSEK!A5,4),". (II. 20.) önkormányzati rendelethez")</f>
        <v>9.3.1.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16506373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v>6200000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525000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>
        <v>6851475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v>2929898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2166000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v>2166000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18672373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193550706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193550706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212223079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211723079</v>
      </c>
    </row>
    <row r="46" spans="1:3" ht="12" customHeight="1" x14ac:dyDescent="0.2">
      <c r="A46" s="494" t="s">
        <v>99</v>
      </c>
      <c r="B46" s="9" t="s">
        <v>49</v>
      </c>
      <c r="C46" s="94">
        <v>84692900</v>
      </c>
    </row>
    <row r="47" spans="1:3" ht="12" customHeight="1" x14ac:dyDescent="0.2">
      <c r="A47" s="494" t="s">
        <v>100</v>
      </c>
      <c r="B47" s="8" t="s">
        <v>180</v>
      </c>
      <c r="C47" s="97">
        <v>16037009</v>
      </c>
    </row>
    <row r="48" spans="1:3" ht="12" customHeight="1" x14ac:dyDescent="0.2">
      <c r="A48" s="494" t="s">
        <v>101</v>
      </c>
      <c r="B48" s="8" t="s">
        <v>141</v>
      </c>
      <c r="C48" s="97">
        <v>110993170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500000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500000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212223079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41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+CONCATENATE("9.3.2. melléklet a 4/",LEFT(ÖSSZEFÜGGÉSEK!A5,4),". (II. 20.) önkormányzati rendelethez")</f>
        <v>9.3.2.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28888256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>
        <v>22746658</v>
      </c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6141598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28888256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111938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111938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29000194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29000194</v>
      </c>
    </row>
    <row r="46" spans="1:3" ht="12" customHeight="1" x14ac:dyDescent="0.2">
      <c r="A46" s="494" t="s">
        <v>99</v>
      </c>
      <c r="B46" s="9" t="s">
        <v>49</v>
      </c>
      <c r="C46" s="94">
        <f>12767100-4641250</f>
        <v>8125850</v>
      </c>
    </row>
    <row r="47" spans="1:3" ht="12" customHeight="1" x14ac:dyDescent="0.2">
      <c r="A47" s="494" t="s">
        <v>100</v>
      </c>
      <c r="B47" s="8" t="s">
        <v>180</v>
      </c>
      <c r="C47" s="97">
        <f>2619585-905044</f>
        <v>1714541</v>
      </c>
    </row>
    <row r="48" spans="1:3" ht="12" customHeight="1" x14ac:dyDescent="0.2">
      <c r="A48" s="494" t="s">
        <v>101</v>
      </c>
      <c r="B48" s="8" t="s">
        <v>141</v>
      </c>
      <c r="C48" s="97">
        <f>26525803-7366000</f>
        <v>19159803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29000194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+CONCATENATE("9.3.3. melléklet a 4/",LEFT(ÖSSZEFÜGGÉSEK!A5,4),". (II. 20.) önkormányzati rendelethez")</f>
        <v>9.3.3.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573</v>
      </c>
      <c r="C2" s="405" t="s">
        <v>60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 melléklet a 4/",LEFT(ÖSSZEFÜGGÉSEK!A5,4),". (II. 20.) önkormányzati rendelethez")</f>
        <v>9.4.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14926450</v>
      </c>
    </row>
    <row r="9" spans="1:3" s="407" customFormat="1" ht="12" customHeight="1" x14ac:dyDescent="0.2">
      <c r="A9" s="493" t="s">
        <v>99</v>
      </c>
      <c r="B9" s="10" t="s">
        <v>276</v>
      </c>
      <c r="C9" s="577">
        <f>'9.4.1. sz. mell ILMKS'!C9+'9.4.2. sz. mell ILMKS'!C9+'9.4.3. sz. mell ILMKS'!C9</f>
        <v>1015000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f>'9.4.1. sz. mell ILMKS'!C10+'9.4.2. sz. mell ILMKS'!C10+'9.4.3. sz. mell ILMKS'!C10</f>
        <v>11920000</v>
      </c>
    </row>
    <row r="11" spans="1:3" s="407" customFormat="1" ht="12" customHeight="1" x14ac:dyDescent="0.2">
      <c r="A11" s="494" t="s">
        <v>101</v>
      </c>
      <c r="B11" s="8" t="s">
        <v>278</v>
      </c>
      <c r="C11" s="397">
        <f>'9.4.1. sz. mell ILMKS'!C11+'9.4.2. sz. mell ILMKS'!C11+'9.4.3. sz. mell ILMKS'!C11</f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>
        <f>'9.4.1. sz. mell ILMKS'!C12+'9.4.2. sz. mell ILMKS'!C12+'9.4.3. sz. mell ILMKS'!C12</f>
        <v>0</v>
      </c>
    </row>
    <row r="13" spans="1:3" s="407" customFormat="1" ht="12" customHeight="1" x14ac:dyDescent="0.2">
      <c r="A13" s="494" t="s">
        <v>148</v>
      </c>
      <c r="B13" s="8" t="s">
        <v>280</v>
      </c>
      <c r="C13" s="397">
        <f>'9.4.1. sz. mell ILMKS'!C13+'9.4.2. sz. mell ILMKS'!C13+'9.4.3. sz. mell ILMKS'!C13</f>
        <v>0</v>
      </c>
    </row>
    <row r="14" spans="1:3" s="407" customFormat="1" ht="12" customHeight="1" x14ac:dyDescent="0.2">
      <c r="A14" s="494" t="s">
        <v>103</v>
      </c>
      <c r="B14" s="8" t="s">
        <v>402</v>
      </c>
      <c r="C14" s="348">
        <f>'9.4.1. sz. mell ILMKS'!C14+'9.4.2. sz. mell ILMKS'!C14+'9.4.3. sz. mell ILMKS'!C14</f>
        <v>1991450</v>
      </c>
    </row>
    <row r="15" spans="1:3" s="407" customFormat="1" ht="12" customHeight="1" x14ac:dyDescent="0.2">
      <c r="A15" s="494" t="s">
        <v>104</v>
      </c>
      <c r="B15" s="7" t="s">
        <v>403</v>
      </c>
      <c r="C15" s="397">
        <f>'9.4.1. sz. mell ILMKS'!C15+'9.4.2. sz. mell ILMKS'!C15+'9.4.3. sz. mell ILMKS'!C15</f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48">
        <f>'9.4.1. sz. mell ILMKS'!C16+'9.4.2. sz. mell ILMKS'!C16+'9.4.3. sz. mell ILMKS'!C16</f>
        <v>0</v>
      </c>
    </row>
    <row r="17" spans="1:3" s="502" customFormat="1" ht="12" customHeight="1" x14ac:dyDescent="0.2">
      <c r="A17" s="494" t="s">
        <v>115</v>
      </c>
      <c r="B17" s="8" t="s">
        <v>284</v>
      </c>
      <c r="C17" s="397">
        <f>'9.4.1. sz. mell ILMKS'!C17+'9.4.2. sz. mell ILMKS'!C17+'9.4.3. sz. mell ILMKS'!C17</f>
        <v>0</v>
      </c>
    </row>
    <row r="18" spans="1:3" s="502" customFormat="1" ht="12" customHeight="1" x14ac:dyDescent="0.2">
      <c r="A18" s="494" t="s">
        <v>116</v>
      </c>
      <c r="B18" s="8" t="s">
        <v>439</v>
      </c>
      <c r="C18" s="348">
        <f>'9.4.1. sz. mell ILMKS'!C18+'9.4.2. sz. mell ILMKS'!C18+'9.4.3. sz. mell ILMKS'!C18</f>
        <v>0</v>
      </c>
    </row>
    <row r="19" spans="1:3" s="502" customFormat="1" ht="12" customHeight="1" thickBot="1" x14ac:dyDescent="0.25">
      <c r="A19" s="494" t="s">
        <v>117</v>
      </c>
      <c r="B19" s="7" t="s">
        <v>285</v>
      </c>
      <c r="C19" s="347">
        <f>'9.4.1. sz. mell ILMKS'!C19+'9.4.2. sz. mell ILMKS'!C19+'9.4.3. sz. mell ILMKS'!C19</f>
        <v>0</v>
      </c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3196914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f>'9.4.1. sz. mell ILMKS'!C23</f>
        <v>3196914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18123364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38034967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+'9.4.1. sz. mell ILMKS'!C38</f>
        <v>0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'9.4.1. sz. mell ILMKS'!C40+'9.4.2. sz. mell ILMKS'!C40+'9.4.3. sz. mell ILMKS'!C40</f>
        <v>38034967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56158331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56158331</v>
      </c>
    </row>
    <row r="46" spans="1:3" ht="12" customHeight="1" x14ac:dyDescent="0.2">
      <c r="A46" s="494" t="s">
        <v>99</v>
      </c>
      <c r="B46" s="9" t="s">
        <v>49</v>
      </c>
      <c r="C46" s="94">
        <f>'9.4.1. sz. mell ILMKS'!C46+'9.4.2. sz. mell ILMKS'!C46+'9.4.3. sz. mell ILMKS'!C46</f>
        <v>24659220</v>
      </c>
    </row>
    <row r="47" spans="1:3" ht="12" customHeight="1" x14ac:dyDescent="0.2">
      <c r="A47" s="494" t="s">
        <v>100</v>
      </c>
      <c r="B47" s="8" t="s">
        <v>180</v>
      </c>
      <c r="C47" s="94">
        <f>'9.4.1. sz. mell ILMKS'!C47+'9.4.2. sz. mell ILMKS'!C47+'9.4.3. sz. mell ILMKS'!C47</f>
        <v>5059986</v>
      </c>
    </row>
    <row r="48" spans="1:3" ht="12" customHeight="1" x14ac:dyDescent="0.2">
      <c r="A48" s="494" t="s">
        <v>101</v>
      </c>
      <c r="B48" s="8" t="s">
        <v>141</v>
      </c>
      <c r="C48" s="94">
        <f>'9.4.1. sz. mell ILMKS'!C48+'9.4.2. sz. mell ILMKS'!C48+'9.4.3. sz. mell ILMKS'!C48</f>
        <v>26439125</v>
      </c>
    </row>
    <row r="49" spans="1:3" ht="12" customHeight="1" x14ac:dyDescent="0.2">
      <c r="A49" s="494" t="s">
        <v>102</v>
      </c>
      <c r="B49" s="8" t="s">
        <v>181</v>
      </c>
      <c r="C49" s="94">
        <f>'9.4.1. sz. mell ILMKS'!C49+'9.4.2. sz. mell ILMKS'!C49+'9.4.3. sz. mell ILMKS'!C49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'9.4.1. sz. mell ILMKS'!C50+'9.4.2. sz. mell ILMKS'!C50+'9.4.3. sz. mell ILMKS'!C50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'9.4.1. sz. mell ILMKS'!C52+'9.4.2. sz. mell ILMKS'!C52+'9.4.3. sz. mell ILMKS'!C52</f>
        <v>0</v>
      </c>
    </row>
    <row r="53" spans="1:3" ht="12" customHeight="1" x14ac:dyDescent="0.2">
      <c r="A53" s="494" t="s">
        <v>106</v>
      </c>
      <c r="B53" s="8" t="s">
        <v>184</v>
      </c>
      <c r="C53" s="94">
        <f>'9.4.1. sz. mell ILMKS'!C53+'9.4.2. sz. mell ILMKS'!C53+'9.4.3. sz. mell ILMKS'!C53</f>
        <v>0</v>
      </c>
    </row>
    <row r="54" spans="1:3" ht="12" customHeight="1" x14ac:dyDescent="0.2">
      <c r="A54" s="494" t="s">
        <v>107</v>
      </c>
      <c r="B54" s="8" t="s">
        <v>58</v>
      </c>
      <c r="C54" s="94">
        <f>'9.4.1. sz. mell ILMKS'!C54+'9.4.2. sz. mell ILMKS'!C54+'9.4.3. sz. mell ILMKS'!C54</f>
        <v>0</v>
      </c>
    </row>
    <row r="55" spans="1:3" ht="12" customHeight="1" thickBot="1" x14ac:dyDescent="0.25">
      <c r="A55" s="494" t="s">
        <v>108</v>
      </c>
      <c r="B55" s="8" t="s">
        <v>525</v>
      </c>
      <c r="C55" s="94">
        <f>'9.4.1. sz. mell ILMKS'!C55+'9.4.2. sz. mell ILMKS'!C55+'9.4.3. sz. mell ILMKS'!C55</f>
        <v>0</v>
      </c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56158331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f>+'9.4.1. sz. mell ILMKS'!C59</f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+CONCATENATE("9.4.1. melléklet a 4/",LEFT(ÖSSZEFÜGGÉSEK!A5,4),". (II. 20.) önkormányzati rendelethez")</f>
        <v>9.4.1.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13656450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15000</v>
      </c>
    </row>
    <row r="10" spans="1:3" s="407" customFormat="1" ht="12" customHeight="1" x14ac:dyDescent="0.2">
      <c r="A10" s="494" t="s">
        <v>100</v>
      </c>
      <c r="B10" s="8" t="s">
        <v>277</v>
      </c>
      <c r="C10" s="348">
        <v>11920000</v>
      </c>
    </row>
    <row r="11" spans="1:3" s="407" customFormat="1" ht="12" customHeight="1" x14ac:dyDescent="0.2">
      <c r="A11" s="494" t="s">
        <v>101</v>
      </c>
      <c r="B11" s="8" t="s">
        <v>278</v>
      </c>
      <c r="C11" s="348">
        <v>0</v>
      </c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1721450</v>
      </c>
    </row>
    <row r="15" spans="1:3" s="407" customFormat="1" ht="12" customHeight="1" x14ac:dyDescent="0.2">
      <c r="A15" s="494" t="s">
        <v>104</v>
      </c>
      <c r="B15" s="7" t="s">
        <v>403</v>
      </c>
      <c r="C15" s="348">
        <v>0</v>
      </c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3196914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>
        <v>3196914</v>
      </c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16853364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38034967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38034967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54888331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54888331</v>
      </c>
    </row>
    <row r="46" spans="1:3" ht="12" customHeight="1" x14ac:dyDescent="0.2">
      <c r="A46" s="494" t="s">
        <v>99</v>
      </c>
      <c r="B46" s="9" t="s">
        <v>49</v>
      </c>
      <c r="C46" s="94">
        <v>24659220</v>
      </c>
    </row>
    <row r="47" spans="1:3" ht="12" customHeight="1" x14ac:dyDescent="0.2">
      <c r="A47" s="494" t="s">
        <v>100</v>
      </c>
      <c r="B47" s="8" t="s">
        <v>180</v>
      </c>
      <c r="C47" s="97">
        <v>5059986</v>
      </c>
    </row>
    <row r="48" spans="1:3" ht="12" customHeight="1" x14ac:dyDescent="0.2">
      <c r="A48" s="494" t="s">
        <v>101</v>
      </c>
      <c r="B48" s="8" t="s">
        <v>141</v>
      </c>
      <c r="C48" s="97">
        <v>25169125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54888331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+CONCATENATE("9.4.2. melléklet a 4/",LEFT(ÖSSZEFÜGGÉSEK!A5,4),". (II. 20.) önkormányzati rendelethez")</f>
        <v>9.4.2.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1270000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1000000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>
        <v>270000</v>
      </c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1270000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1270000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1270000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>
        <v>1270000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1270000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30" zoomScaleSheetLayoutView="100" workbookViewId="0">
      <selection activeCell="F3" sqref="F3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69" t="s">
        <v>15</v>
      </c>
      <c r="B1" s="669"/>
      <c r="C1" s="669"/>
    </row>
    <row r="2" spans="1:3" ht="15.95" customHeight="1" thickBot="1" x14ac:dyDescent="0.3">
      <c r="A2" s="670" t="s">
        <v>152</v>
      </c>
      <c r="B2" s="670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540934975</v>
      </c>
    </row>
    <row r="6" spans="1:3" s="458" customFormat="1" ht="12" customHeight="1" x14ac:dyDescent="0.2">
      <c r="A6" s="15" t="s">
        <v>99</v>
      </c>
      <c r="B6" s="459" t="s">
        <v>252</v>
      </c>
      <c r="C6" s="333">
        <f>'9.1.1. sz. mell ÖNK'!C9</f>
        <v>202192087</v>
      </c>
    </row>
    <row r="7" spans="1:3" s="458" customFormat="1" ht="12" customHeight="1" x14ac:dyDescent="0.2">
      <c r="A7" s="14" t="s">
        <v>100</v>
      </c>
      <c r="B7" s="460" t="s">
        <v>253</v>
      </c>
      <c r="C7" s="333">
        <f>'9.1.1. sz. mell ÖNK'!C10</f>
        <v>105196033</v>
      </c>
    </row>
    <row r="8" spans="1:3" s="458" customFormat="1" ht="12" customHeight="1" x14ac:dyDescent="0.2">
      <c r="A8" s="14" t="s">
        <v>101</v>
      </c>
      <c r="B8" s="460" t="s">
        <v>553</v>
      </c>
      <c r="C8" s="333">
        <f>'9.1.1. sz. mell ÖNK'!C11</f>
        <v>191749404</v>
      </c>
    </row>
    <row r="9" spans="1:3" s="458" customFormat="1" ht="12" customHeight="1" x14ac:dyDescent="0.2">
      <c r="A9" s="14" t="s">
        <v>102</v>
      </c>
      <c r="B9" s="460" t="s">
        <v>255</v>
      </c>
      <c r="C9" s="333">
        <f>'9.1.1. sz. mell ÖNK'!C12</f>
        <v>9988396</v>
      </c>
    </row>
    <row r="10" spans="1:3" s="458" customFormat="1" ht="12" customHeight="1" x14ac:dyDescent="0.2">
      <c r="A10" s="14" t="s">
        <v>148</v>
      </c>
      <c r="B10" s="326" t="s">
        <v>435</v>
      </c>
      <c r="C10" s="333">
        <f>'9.1.1. sz. mell ÖNK'!C13</f>
        <v>31809055</v>
      </c>
    </row>
    <row r="11" spans="1:3" s="458" customFormat="1" ht="12" customHeight="1" thickBot="1" x14ac:dyDescent="0.25">
      <c r="A11" s="16" t="s">
        <v>103</v>
      </c>
      <c r="B11" s="327" t="s">
        <v>436</v>
      </c>
      <c r="C11" s="333">
        <f>'9.1.1. sz. mell ÖNK'!C14</f>
        <v>0</v>
      </c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281758941</v>
      </c>
    </row>
    <row r="13" spans="1:3" s="458" customFormat="1" ht="12" customHeight="1" x14ac:dyDescent="0.2">
      <c r="A13" s="15" t="s">
        <v>105</v>
      </c>
      <c r="B13" s="459" t="s">
        <v>257</v>
      </c>
      <c r="C13" s="333">
        <f>'9.1.1. sz. mell ÖNK'!C16</f>
        <v>0</v>
      </c>
    </row>
    <row r="14" spans="1:3" s="458" customFormat="1" ht="12" customHeight="1" x14ac:dyDescent="0.2">
      <c r="A14" s="14" t="s">
        <v>106</v>
      </c>
      <c r="B14" s="460" t="s">
        <v>258</v>
      </c>
      <c r="C14" s="333">
        <f>'9.1.1. sz. mell ÖNK'!C17</f>
        <v>0</v>
      </c>
    </row>
    <row r="15" spans="1:3" s="458" customFormat="1" ht="12" customHeight="1" x14ac:dyDescent="0.2">
      <c r="A15" s="14" t="s">
        <v>107</v>
      </c>
      <c r="B15" s="460" t="s">
        <v>425</v>
      </c>
      <c r="C15" s="333">
        <f>'9.1.1. sz. mell ÖNK'!C18</f>
        <v>0</v>
      </c>
    </row>
    <row r="16" spans="1:3" s="458" customFormat="1" ht="12" customHeight="1" x14ac:dyDescent="0.2">
      <c r="A16" s="14" t="s">
        <v>108</v>
      </c>
      <c r="B16" s="460" t="s">
        <v>426</v>
      </c>
      <c r="C16" s="333">
        <f>'9.1.1. sz. mell ÖNK'!C19</f>
        <v>0</v>
      </c>
    </row>
    <row r="17" spans="1:3" s="458" customFormat="1" ht="12" customHeight="1" x14ac:dyDescent="0.2">
      <c r="A17" s="14" t="s">
        <v>109</v>
      </c>
      <c r="B17" s="460" t="s">
        <v>259</v>
      </c>
      <c r="C17" s="333">
        <f>'9.1.1. sz. mell ÖNK'!C20+'9.3. sz. mell GAM'!C23+'9.4. sz. mell ILMKS'!C23</f>
        <v>281758941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3">
        <f>'9.1.1. sz. mell ÖNK'!C21</f>
        <v>60826054</v>
      </c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319680797</v>
      </c>
    </row>
    <row r="20" spans="1:3" s="458" customFormat="1" ht="12" customHeight="1" x14ac:dyDescent="0.2">
      <c r="A20" s="15" t="s">
        <v>88</v>
      </c>
      <c r="B20" s="459" t="s">
        <v>262</v>
      </c>
      <c r="C20" s="333">
        <f>'9.1.1. sz. mell ÖNK'!C23</f>
        <v>0</v>
      </c>
    </row>
    <row r="21" spans="1:3" s="458" customFormat="1" ht="12" customHeight="1" x14ac:dyDescent="0.2">
      <c r="A21" s="14" t="s">
        <v>89</v>
      </c>
      <c r="B21" s="460" t="s">
        <v>263</v>
      </c>
      <c r="C21" s="333">
        <f>'9.1.1. sz. mell ÖNK'!C24</f>
        <v>0</v>
      </c>
    </row>
    <row r="22" spans="1:3" s="458" customFormat="1" ht="12" customHeight="1" x14ac:dyDescent="0.2">
      <c r="A22" s="14" t="s">
        <v>90</v>
      </c>
      <c r="B22" s="460" t="s">
        <v>427</v>
      </c>
      <c r="C22" s="333">
        <f>'9.1.1. sz. mell ÖNK'!C25</f>
        <v>0</v>
      </c>
    </row>
    <row r="23" spans="1:3" s="458" customFormat="1" ht="12" customHeight="1" x14ac:dyDescent="0.2">
      <c r="A23" s="14" t="s">
        <v>91</v>
      </c>
      <c r="B23" s="460" t="s">
        <v>428</v>
      </c>
      <c r="C23" s="333">
        <f>'9.1.1. sz. mell ÖNK'!C26</f>
        <v>0</v>
      </c>
    </row>
    <row r="24" spans="1:3" s="458" customFormat="1" ht="12" customHeight="1" x14ac:dyDescent="0.2">
      <c r="A24" s="14" t="s">
        <v>168</v>
      </c>
      <c r="B24" s="460" t="s">
        <v>264</v>
      </c>
      <c r="C24" s="333">
        <f>'9.1.1. sz. mell ÖNK'!C27</f>
        <v>319680797</v>
      </c>
    </row>
    <row r="25" spans="1:3" s="458" customFormat="1" ht="12" customHeight="1" thickBot="1" x14ac:dyDescent="0.25">
      <c r="A25" s="16" t="s">
        <v>169</v>
      </c>
      <c r="B25" s="461" t="s">
        <v>265</v>
      </c>
      <c r="C25" s="333">
        <f>'9.1.1. sz. mell ÖNK'!C28</f>
        <v>319680797</v>
      </c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SUM(C27:C34)+'9.2.1. sz. mell HIV'!C25</f>
        <v>105120074</v>
      </c>
    </row>
    <row r="27" spans="1:3" s="458" customFormat="1" ht="12" customHeight="1" x14ac:dyDescent="0.2">
      <c r="A27" s="15" t="s">
        <v>267</v>
      </c>
      <c r="B27" s="459" t="s">
        <v>558</v>
      </c>
      <c r="C27" s="333">
        <f>'9.1.1. sz. mell ÖNK'!C30</f>
        <v>0</v>
      </c>
    </row>
    <row r="28" spans="1:3" s="458" customFormat="1" ht="12" customHeight="1" x14ac:dyDescent="0.2">
      <c r="A28" s="14" t="s">
        <v>268</v>
      </c>
      <c r="B28" s="460" t="s">
        <v>559</v>
      </c>
      <c r="C28" s="333">
        <f>'9.1.1. sz. mell ÖNK'!C31</f>
        <v>15000</v>
      </c>
    </row>
    <row r="29" spans="1:3" s="458" customFormat="1" ht="12" customHeight="1" x14ac:dyDescent="0.2">
      <c r="A29" s="14" t="s">
        <v>269</v>
      </c>
      <c r="B29" s="460" t="s">
        <v>712</v>
      </c>
      <c r="C29" s="333">
        <f>'9.1.1. sz. mell ÖNK'!C32</f>
        <v>14000000</v>
      </c>
    </row>
    <row r="30" spans="1:3" s="458" customFormat="1" ht="12" customHeight="1" x14ac:dyDescent="0.2">
      <c r="A30" s="14" t="s">
        <v>270</v>
      </c>
      <c r="B30" s="460" t="s">
        <v>560</v>
      </c>
      <c r="C30" s="333">
        <f>'9.1.1. sz. mell ÖNK'!C33</f>
        <v>76645074</v>
      </c>
    </row>
    <row r="31" spans="1:3" s="458" customFormat="1" ht="12" customHeight="1" x14ac:dyDescent="0.2">
      <c r="A31" s="14" t="s">
        <v>555</v>
      </c>
      <c r="B31" s="460" t="s">
        <v>561</v>
      </c>
      <c r="C31" s="333">
        <f>'9.1.1. sz. mell ÖNK'!C34</f>
        <v>10000</v>
      </c>
    </row>
    <row r="32" spans="1:3" s="458" customFormat="1" ht="12" customHeight="1" x14ac:dyDescent="0.2">
      <c r="A32" s="14" t="s">
        <v>556</v>
      </c>
      <c r="B32" s="460" t="s">
        <v>271</v>
      </c>
      <c r="C32" s="333">
        <f>'9.1.1. sz. mell ÖNK'!C35</f>
        <v>13000000</v>
      </c>
    </row>
    <row r="33" spans="1:3" s="458" customFormat="1" ht="12" customHeight="1" x14ac:dyDescent="0.2">
      <c r="A33" s="16" t="s">
        <v>557</v>
      </c>
      <c r="B33" s="460" t="s">
        <v>272</v>
      </c>
      <c r="C33" s="333">
        <f>'9.1.1. sz. mell ÖNK'!C36</f>
        <v>0</v>
      </c>
    </row>
    <row r="34" spans="1:3" s="458" customFormat="1" ht="12" customHeight="1" thickBot="1" x14ac:dyDescent="0.25">
      <c r="A34" s="16" t="s">
        <v>713</v>
      </c>
      <c r="B34" s="564" t="s">
        <v>273</v>
      </c>
      <c r="C34" s="333">
        <f>'9.1.1. sz. mell ÖNK'!C37</f>
        <v>1400000</v>
      </c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63427131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'9.1.1. sz. mell ÖNK'!C39+'9.2.1. sz. mell HIV'!C9+'9.3.1. sz. mell GAM'!C9+'9.4.1. sz. mell ILMKS'!C9+'9.5.1. sz. mell OVI'!C9</f>
        <v>15000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'9.1.1. sz. mell ÖNK'!C40+'9.2.1. sz. mell HIV'!C10+'9.3.1. sz. mell GAM'!C10+'9.4.1. sz. mell ILMKS'!C10+'9.5.1. sz. mell OVI'!C10</f>
        <v>28747279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'9.1.1. sz. mell ÖNK'!C41+'9.2.1. sz. mell HIV'!C11+'9.3.1. sz. mell GAM'!C11+'9.4.1. sz. mell ILMKS'!C11+'9.5.1. sz. mell OVI'!C11</f>
        <v>3325000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'9.1.1. sz. mell ÖNK'!C42+'9.2.1. sz. mell HIV'!C12+'9.3.1. sz. mell GAM'!C12+'9.4.1. sz. mell ILMKS'!C12+'9.5.1. sz. mell OVI'!C12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'9.1.1. sz. mell ÖNK'!C43+'9.2.1. sz. mell HIV'!C13+'9.3.1. sz. mell GAM'!C13+'9.4.1. sz. mell ILMKS'!C13+'9.5.1. sz. mell OVI'!C13</f>
        <v>6851475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'9.1.1. sz. mell ÖNK'!C44+'9.2.1. sz. mell HIV'!C14+'9.3.1. sz. mell GAM'!C14+'9.4.1. sz. mell ILMKS'!C14+'9.5.1. sz. mell OVI'!C14</f>
        <v>24488377</v>
      </c>
    </row>
    <row r="42" spans="1:3" s="458" customFormat="1" ht="12" customHeight="1" x14ac:dyDescent="0.2">
      <c r="A42" s="14" t="s">
        <v>175</v>
      </c>
      <c r="B42" s="460" t="s">
        <v>282</v>
      </c>
      <c r="C42" s="333">
        <f>'9.1.1. sz. mell ÖNK'!C45+'9.2.1. sz. mell HIV'!C15+'9.3.1. sz. mell GAM'!C15+'9.4.1. sz. mell ILMKS'!C15+'9.5.1. sz. mell OVI'!C15</f>
        <v>0</v>
      </c>
    </row>
    <row r="43" spans="1:3" s="458" customFormat="1" ht="12" customHeight="1" x14ac:dyDescent="0.2">
      <c r="A43" s="14" t="s">
        <v>176</v>
      </c>
      <c r="B43" s="460" t="s">
        <v>562</v>
      </c>
      <c r="C43" s="333">
        <f>'9.1.1. sz. mell ÖNK'!C46+'9.2.1. sz. mell HIV'!C16+'9.3.1. sz. mell GAM'!C16+'9.4.1. sz. mell ILMKS'!C16+'9.5.1. sz. mell OVI'!C16</f>
        <v>0</v>
      </c>
    </row>
    <row r="44" spans="1:3" s="458" customFormat="1" ht="12" customHeight="1" x14ac:dyDescent="0.2">
      <c r="A44" s="14" t="s">
        <v>274</v>
      </c>
      <c r="B44" s="460" t="s">
        <v>284</v>
      </c>
      <c r="C44" s="333">
        <f>'9.1.1. sz. mell ÖNK'!C47+'9.2.1. sz. mell HIV'!C17+'9.3.1. sz. mell GAM'!C17+'9.4.1. sz. mell ILMKS'!C17+'9.5.1. sz. mell OVI'!C17</f>
        <v>0</v>
      </c>
    </row>
    <row r="45" spans="1:3" s="458" customFormat="1" ht="12" customHeight="1" x14ac:dyDescent="0.2">
      <c r="A45" s="16" t="s">
        <v>275</v>
      </c>
      <c r="B45" s="461" t="s">
        <v>439</v>
      </c>
      <c r="C45" s="333">
        <f>'9.1.1. sz. mell ÖNK'!C48+'9.2.1. sz. mell HIV'!C18+'9.3.1. sz. mell GAM'!C18+'9.4.1. sz. mell ILMKS'!C18+'9.5.1. sz. mell OVI'!C18</f>
        <v>0</v>
      </c>
    </row>
    <row r="46" spans="1:3" s="458" customFormat="1" ht="12" customHeight="1" thickBot="1" x14ac:dyDescent="0.25">
      <c r="A46" s="16" t="s">
        <v>438</v>
      </c>
      <c r="B46" s="327" t="s">
        <v>285</v>
      </c>
      <c r="C46" s="333">
        <f>'9.1.1. sz. mell ÖNK'!C49+'9.2.1. sz. mell HIV'!C19+'9.3.1. sz. mell GAM'!C19+'9.4.1. sz. mell ILMKS'!C19+'9.5.1. sz. mell OVI'!C19</f>
        <v>0</v>
      </c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70643198</v>
      </c>
    </row>
    <row r="48" spans="1:3" s="458" customFormat="1" ht="12" customHeight="1" x14ac:dyDescent="0.2">
      <c r="A48" s="15" t="s">
        <v>95</v>
      </c>
      <c r="B48" s="459" t="s">
        <v>290</v>
      </c>
      <c r="C48" s="504">
        <f>'9.1.1. sz. mell ÖNK'!C51+'9.2.1. sz. mell HIV'!C32+'9.3.1. sz. mell GAM'!C31+'9.4.1. sz. mell ILMKS'!C31+'9.5.1. sz. mell OVI'!C31</f>
        <v>0</v>
      </c>
    </row>
    <row r="49" spans="1:3" s="458" customFormat="1" ht="12" customHeight="1" x14ac:dyDescent="0.2">
      <c r="A49" s="14" t="s">
        <v>96</v>
      </c>
      <c r="B49" s="460" t="s">
        <v>291</v>
      </c>
      <c r="C49" s="504">
        <f>'9.1.1. sz. mell ÖNK'!C52+'9.2.1. sz. mell HIV'!C33+'9.3.1. sz. mell GAM'!C32+'9.4.1. sz. mell ILMKS'!C32+'9.5.1. sz. mell OVI'!C32</f>
        <v>70643198</v>
      </c>
    </row>
    <row r="50" spans="1:3" s="458" customFormat="1" ht="12" customHeight="1" x14ac:dyDescent="0.2">
      <c r="A50" s="14" t="s">
        <v>287</v>
      </c>
      <c r="B50" s="460" t="s">
        <v>292</v>
      </c>
      <c r="C50" s="504">
        <f>'9.1.1. sz. mell ÖNK'!C53+'9.2.1. sz. mell HIV'!C34+'9.3.1. sz. mell GAM'!C33+'9.4.1. sz. mell ILMKS'!C33+'9.5.1. sz. mell OVI'!C33</f>
        <v>0</v>
      </c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>
        <f>'9.1.1. sz. mell ÖNK'!C57</f>
        <v>0</v>
      </c>
    </row>
    <row r="55" spans="1:3" s="458" customFormat="1" ht="12" customHeight="1" x14ac:dyDescent="0.2">
      <c r="A55" s="14" t="s">
        <v>98</v>
      </c>
      <c r="B55" s="460" t="s">
        <v>429</v>
      </c>
      <c r="C55" s="333">
        <f>'9.1.1. sz. mell ÖNK'!C58</f>
        <v>0</v>
      </c>
    </row>
    <row r="56" spans="1:3" s="458" customFormat="1" ht="12" customHeight="1" x14ac:dyDescent="0.2">
      <c r="A56" s="14" t="s">
        <v>299</v>
      </c>
      <c r="B56" s="460" t="s">
        <v>297</v>
      </c>
      <c r="C56" s="333">
        <f>'9.1.1. sz. mell ÖNK'!C59</f>
        <v>0</v>
      </c>
    </row>
    <row r="57" spans="1:3" s="458" customFormat="1" ht="12" customHeight="1" thickBot="1" x14ac:dyDescent="0.25">
      <c r="A57" s="16" t="s">
        <v>300</v>
      </c>
      <c r="B57" s="327" t="s">
        <v>298</v>
      </c>
      <c r="C57" s="333">
        <f>'9.1.1. sz. mell ÖNK'!C60</f>
        <v>0</v>
      </c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1810000</v>
      </c>
    </row>
    <row r="59" spans="1:3" s="458" customFormat="1" ht="12" customHeight="1" x14ac:dyDescent="0.2">
      <c r="A59" s="15" t="s">
        <v>178</v>
      </c>
      <c r="B59" s="459" t="s">
        <v>303</v>
      </c>
      <c r="C59" s="335">
        <f>'9.1.1. sz. mell ÖNK'!C62</f>
        <v>0</v>
      </c>
    </row>
    <row r="60" spans="1:3" s="458" customFormat="1" ht="12" customHeight="1" x14ac:dyDescent="0.2">
      <c r="A60" s="14" t="s">
        <v>179</v>
      </c>
      <c r="B60" s="460" t="s">
        <v>430</v>
      </c>
      <c r="C60" s="335">
        <f>'9.1.1. sz. mell ÖNK'!C63</f>
        <v>1810000</v>
      </c>
    </row>
    <row r="61" spans="1:3" s="458" customFormat="1" ht="12" customHeight="1" x14ac:dyDescent="0.2">
      <c r="A61" s="14" t="s">
        <v>227</v>
      </c>
      <c r="B61" s="460" t="s">
        <v>304</v>
      </c>
      <c r="C61" s="335">
        <f>'9.1.1. sz. mell ÖNK'!C64</f>
        <v>0</v>
      </c>
    </row>
    <row r="62" spans="1:3" s="458" customFormat="1" ht="12" customHeight="1" thickBot="1" x14ac:dyDescent="0.25">
      <c r="A62" s="16" t="s">
        <v>302</v>
      </c>
      <c r="B62" s="327" t="s">
        <v>305</v>
      </c>
      <c r="C62" s="335">
        <f>'9.1.1. sz. mell ÖNK'!C65</f>
        <v>0</v>
      </c>
    </row>
    <row r="63" spans="1:3" s="458" customFormat="1" ht="12" customHeight="1" thickBot="1" x14ac:dyDescent="0.25">
      <c r="A63" s="536" t="s">
        <v>479</v>
      </c>
      <c r="B63" s="21" t="s">
        <v>306</v>
      </c>
      <c r="C63" s="336">
        <f>+C5+C12+C19+C26+C35+C47+C53+C58</f>
        <v>1383375116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16400000</v>
      </c>
    </row>
    <row r="65" spans="1:3" s="458" customFormat="1" ht="12" customHeight="1" x14ac:dyDescent="0.2">
      <c r="A65" s="15" t="s">
        <v>339</v>
      </c>
      <c r="B65" s="459" t="s">
        <v>309</v>
      </c>
      <c r="C65" s="335">
        <f>'9.1.1. sz. mell ÖNK'!C68</f>
        <v>16400000</v>
      </c>
    </row>
    <row r="66" spans="1:3" s="458" customFormat="1" ht="12" customHeight="1" x14ac:dyDescent="0.2">
      <c r="A66" s="14" t="s">
        <v>348</v>
      </c>
      <c r="B66" s="460" t="s">
        <v>310</v>
      </c>
      <c r="C66" s="335">
        <f>'9.1.1. sz. mell ÖNK'!C69</f>
        <v>0</v>
      </c>
    </row>
    <row r="67" spans="1:3" s="458" customFormat="1" ht="12" customHeight="1" thickBot="1" x14ac:dyDescent="0.25">
      <c r="A67" s="16" t="s">
        <v>349</v>
      </c>
      <c r="B67" s="530" t="s">
        <v>464</v>
      </c>
      <c r="C67" s="335">
        <f>'9.1.1. sz. mell ÖNK'!C70</f>
        <v>0</v>
      </c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>
        <f>'9.1.1. sz. mell ÖNK'!C72</f>
        <v>0</v>
      </c>
    </row>
    <row r="70" spans="1:3" s="458" customFormat="1" ht="12" customHeight="1" x14ac:dyDescent="0.2">
      <c r="A70" s="14" t="s">
        <v>150</v>
      </c>
      <c r="B70" s="460" t="s">
        <v>315</v>
      </c>
      <c r="C70" s="335">
        <f>'9.1.1. sz. mell ÖNK'!C73</f>
        <v>0</v>
      </c>
    </row>
    <row r="71" spans="1:3" s="458" customFormat="1" ht="12" customHeight="1" x14ac:dyDescent="0.2">
      <c r="A71" s="14" t="s">
        <v>340</v>
      </c>
      <c r="B71" s="460" t="s">
        <v>316</v>
      </c>
      <c r="C71" s="335">
        <f>'9.1.1. sz. mell ÖNK'!C74</f>
        <v>0</v>
      </c>
    </row>
    <row r="72" spans="1:3" s="458" customFormat="1" ht="12" customHeight="1" thickBot="1" x14ac:dyDescent="0.25">
      <c r="A72" s="16" t="s">
        <v>341</v>
      </c>
      <c r="B72" s="327" t="s">
        <v>317</v>
      </c>
      <c r="C72" s="335">
        <f>'9.1.1. sz. mell ÖNK'!C75</f>
        <v>0</v>
      </c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679547492</v>
      </c>
    </row>
    <row r="74" spans="1:3" s="458" customFormat="1" ht="12" customHeight="1" x14ac:dyDescent="0.2">
      <c r="A74" s="15" t="s">
        <v>342</v>
      </c>
      <c r="B74" s="459" t="s">
        <v>320</v>
      </c>
      <c r="C74" s="335">
        <f>'9.1.1. sz. mell ÖNK'!C77+'9.2.1. sz. mell HIV'!C39+'9.3.1. sz. mell GAM'!C38+'9.4.1. sz. mell ILMKS'!C38+'9.5.1. sz. mell OVI'!C38</f>
        <v>679547492</v>
      </c>
    </row>
    <row r="75" spans="1:3" s="458" customFormat="1" ht="12" customHeight="1" thickBot="1" x14ac:dyDescent="0.25">
      <c r="A75" s="16" t="s">
        <v>343</v>
      </c>
      <c r="B75" s="327" t="s">
        <v>321</v>
      </c>
      <c r="C75" s="335">
        <f>'9.1.1. sz. mell ÖNK'!C78+'9.2.1. sz. mell HIV'!C40+'9.3.1. sz. mell GAM'!C39+'9.4.1. sz. mell ILMKS'!C39+'9.5.1. sz. mell OVI'!C39</f>
        <v>0</v>
      </c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>
        <f>'9.1.1. sz. mell ÖNK'!C80</f>
        <v>0</v>
      </c>
    </row>
    <row r="78" spans="1:3" s="458" customFormat="1" ht="12" customHeight="1" x14ac:dyDescent="0.2">
      <c r="A78" s="14" t="s">
        <v>345</v>
      </c>
      <c r="B78" s="460" t="s">
        <v>325</v>
      </c>
      <c r="C78" s="335">
        <f>'9.1.1. sz. mell ÖNK'!C81</f>
        <v>0</v>
      </c>
    </row>
    <row r="79" spans="1:3" s="458" customFormat="1" ht="12" customHeight="1" thickBot="1" x14ac:dyDescent="0.25">
      <c r="A79" s="16" t="s">
        <v>346</v>
      </c>
      <c r="B79" s="327" t="s">
        <v>326</v>
      </c>
      <c r="C79" s="335">
        <f>'9.1.1. sz. mell ÖNK'!C82</f>
        <v>0</v>
      </c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>
        <f>'9.1.1. sz. mell ÖNK'!C84</f>
        <v>0</v>
      </c>
    </row>
    <row r="82" spans="1:3" s="458" customFormat="1" ht="12" customHeight="1" x14ac:dyDescent="0.2">
      <c r="A82" s="464" t="s">
        <v>330</v>
      </c>
      <c r="B82" s="460" t="s">
        <v>331</v>
      </c>
      <c r="C82" s="335">
        <f>'9.1.1. sz. mell ÖNK'!C85</f>
        <v>0</v>
      </c>
    </row>
    <row r="83" spans="1:3" s="458" customFormat="1" ht="12" customHeight="1" x14ac:dyDescent="0.2">
      <c r="A83" s="464" t="s">
        <v>332</v>
      </c>
      <c r="B83" s="460" t="s">
        <v>333</v>
      </c>
      <c r="C83" s="335">
        <f>'9.1.1. sz. mell ÖNK'!C86</f>
        <v>0</v>
      </c>
    </row>
    <row r="84" spans="1:3" s="458" customFormat="1" ht="12" customHeight="1" thickBot="1" x14ac:dyDescent="0.25">
      <c r="A84" s="465" t="s">
        <v>334</v>
      </c>
      <c r="B84" s="327" t="s">
        <v>335</v>
      </c>
      <c r="C84" s="335">
        <f>'9.1.1. sz. mell ÖNK'!C87</f>
        <v>0</v>
      </c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695947492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2079322608</v>
      </c>
    </row>
    <row r="89" spans="1:3" s="458" customFormat="1" ht="29.25" customHeight="1" x14ac:dyDescent="0.2">
      <c r="A89" s="5"/>
      <c r="B89" s="6"/>
      <c r="C89" s="337"/>
    </row>
    <row r="90" spans="1:3" ht="16.5" customHeight="1" x14ac:dyDescent="0.25">
      <c r="A90" s="669" t="s">
        <v>47</v>
      </c>
      <c r="B90" s="669"/>
      <c r="C90" s="669"/>
    </row>
    <row r="91" spans="1:3" s="468" customFormat="1" ht="16.5" customHeight="1" thickBot="1" x14ac:dyDescent="0.3">
      <c r="A91" s="671" t="s">
        <v>153</v>
      </c>
      <c r="B91" s="671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1173956608</v>
      </c>
    </row>
    <row r="95" spans="1:3" ht="12" customHeight="1" x14ac:dyDescent="0.25">
      <c r="A95" s="17" t="s">
        <v>99</v>
      </c>
      <c r="B95" s="10" t="s">
        <v>49</v>
      </c>
      <c r="C95" s="331">
        <f>'9.1.1. sz. mell ÖNK'!C95+'9.2.1. sz. mell HIV'!C47+'9.3.1. sz. mell GAM'!C46+'9.4.1. sz. mell ILMKS'!C46+'9.5.1. sz. mell OVI'!C46+'9.6.1. sz. mell CSSK'!C46</f>
        <v>494643445</v>
      </c>
    </row>
    <row r="96" spans="1:3" ht="12" customHeight="1" x14ac:dyDescent="0.25">
      <c r="A96" s="14" t="s">
        <v>100</v>
      </c>
      <c r="B96" s="8" t="s">
        <v>180</v>
      </c>
      <c r="C96" s="332">
        <f>'9.1.1. sz. mell ÖNK'!C96+'9.2.1. sz. mell HIV'!C48+'9.3.1. sz. mell GAM'!C47+'9.4.1. sz. mell ILMKS'!C47+'9.5.1. sz. mell OVI'!C47+'9.6.1. sz. mell CSSK'!C47</f>
        <v>82960208</v>
      </c>
    </row>
    <row r="97" spans="1:3" ht="12" customHeight="1" x14ac:dyDescent="0.25">
      <c r="A97" s="14" t="s">
        <v>101</v>
      </c>
      <c r="B97" s="8" t="s">
        <v>141</v>
      </c>
      <c r="C97" s="332">
        <f>'9.1.1. sz. mell ÖNK'!C97+'9.2.1. sz. mell HIV'!C49+'9.3.1. sz. mell GAM'!C48+'9.4.1. sz. mell ILMKS'!C48+'9.5.1. sz. mell OVI'!C48+'9.6.1. sz. mell CSSK'!C48</f>
        <v>477249364</v>
      </c>
    </row>
    <row r="98" spans="1:3" ht="12" customHeight="1" x14ac:dyDescent="0.25">
      <c r="A98" s="14" t="s">
        <v>102</v>
      </c>
      <c r="B98" s="11" t="s">
        <v>181</v>
      </c>
      <c r="C98" s="332">
        <f>'9.1.1. sz. mell ÖNK'!C99+'9.2.1. sz. mell HIV'!C50+'9.3.1. sz. mell GAM'!C49+'9.4.1. sz. mell ILMKS'!C49+'9.5.1. sz. mell OVI'!C49+'9.6.1. sz. mell CSSK'!C49</f>
        <v>21950000</v>
      </c>
    </row>
    <row r="99" spans="1:3" ht="12" customHeight="1" x14ac:dyDescent="0.25">
      <c r="A99" s="14" t="s">
        <v>113</v>
      </c>
      <c r="B99" s="19" t="s">
        <v>182</v>
      </c>
      <c r="C99" s="332">
        <f>'9.1.1. sz. mell ÖNK'!C100+'9.2.1. sz. mell HIV'!C51+'9.3.1. sz. mell GAM'!C50+'9.4.1. sz. mell ILMKS'!C50+'9.5.1. sz. mell OVI'!C50+'9.6.1. sz. mell CSSK'!C50</f>
        <v>26630000</v>
      </c>
    </row>
    <row r="100" spans="1:3" ht="12" customHeight="1" x14ac:dyDescent="0.25">
      <c r="A100" s="14" t="s">
        <v>103</v>
      </c>
      <c r="B100" s="8" t="s">
        <v>445</v>
      </c>
      <c r="C100" s="334">
        <f>'9.1.1. sz. mell ÖNK'!C101</f>
        <v>0</v>
      </c>
    </row>
    <row r="101" spans="1:3" ht="12" customHeight="1" x14ac:dyDescent="0.25">
      <c r="A101" s="14" t="s">
        <v>104</v>
      </c>
      <c r="B101" s="169" t="s">
        <v>444</v>
      </c>
      <c r="C101" s="334">
        <f>'9.1.1. sz. mell ÖNK'!C102</f>
        <v>0</v>
      </c>
    </row>
    <row r="102" spans="1:3" ht="12" customHeight="1" x14ac:dyDescent="0.25">
      <c r="A102" s="14" t="s">
        <v>114</v>
      </c>
      <c r="B102" s="169" t="s">
        <v>443</v>
      </c>
      <c r="C102" s="334">
        <f>'9.1.1. sz. mell ÖNK'!C103</f>
        <v>0</v>
      </c>
    </row>
    <row r="103" spans="1:3" ht="12" customHeight="1" x14ac:dyDescent="0.25">
      <c r="A103" s="14" t="s">
        <v>115</v>
      </c>
      <c r="B103" s="167" t="s">
        <v>353</v>
      </c>
      <c r="C103" s="334">
        <f>'9.1.1. sz. mell ÖNK'!C104</f>
        <v>0</v>
      </c>
    </row>
    <row r="104" spans="1:3" ht="12" customHeight="1" x14ac:dyDescent="0.25">
      <c r="A104" s="14" t="s">
        <v>116</v>
      </c>
      <c r="B104" s="168" t="s">
        <v>354</v>
      </c>
      <c r="C104" s="334">
        <f>'9.1.1. sz. mell ÖNK'!C105</f>
        <v>0</v>
      </c>
    </row>
    <row r="105" spans="1:3" ht="12" customHeight="1" x14ac:dyDescent="0.25">
      <c r="A105" s="14" t="s">
        <v>117</v>
      </c>
      <c r="B105" s="168" t="s">
        <v>355</v>
      </c>
      <c r="C105" s="334">
        <f>'9.1.1. sz. mell ÖNK'!C106</f>
        <v>0</v>
      </c>
    </row>
    <row r="106" spans="1:3" ht="12" customHeight="1" x14ac:dyDescent="0.25">
      <c r="A106" s="14" t="s">
        <v>119</v>
      </c>
      <c r="B106" s="167" t="s">
        <v>356</v>
      </c>
      <c r="C106" s="334">
        <f>'9.1.1. sz. mell ÖNK'!C107</f>
        <v>1600000</v>
      </c>
    </row>
    <row r="107" spans="1:3" ht="12" customHeight="1" x14ac:dyDescent="0.25">
      <c r="A107" s="14" t="s">
        <v>183</v>
      </c>
      <c r="B107" s="167" t="s">
        <v>357</v>
      </c>
      <c r="C107" s="334">
        <f>'9.1.1. sz. mell ÖNK'!C108</f>
        <v>0</v>
      </c>
    </row>
    <row r="108" spans="1:3" ht="12" customHeight="1" x14ac:dyDescent="0.25">
      <c r="A108" s="14" t="s">
        <v>351</v>
      </c>
      <c r="B108" s="168" t="s">
        <v>358</v>
      </c>
      <c r="C108" s="334">
        <f>'9.1.1. sz. mell ÖNK'!C109</f>
        <v>0</v>
      </c>
    </row>
    <row r="109" spans="1:3" ht="12" customHeight="1" x14ac:dyDescent="0.25">
      <c r="A109" s="13" t="s">
        <v>352</v>
      </c>
      <c r="B109" s="169" t="s">
        <v>359</v>
      </c>
      <c r="C109" s="334">
        <f>'9.1.1. sz. mell ÖNK'!C110</f>
        <v>0</v>
      </c>
    </row>
    <row r="110" spans="1:3" ht="12" customHeight="1" x14ac:dyDescent="0.25">
      <c r="A110" s="14" t="s">
        <v>441</v>
      </c>
      <c r="B110" s="169" t="s">
        <v>360</v>
      </c>
      <c r="C110" s="334">
        <f>'9.1.1. sz. mell ÖNK'!C111</f>
        <v>0</v>
      </c>
    </row>
    <row r="111" spans="1:3" ht="12" customHeight="1" x14ac:dyDescent="0.25">
      <c r="A111" s="16" t="s">
        <v>442</v>
      </c>
      <c r="B111" s="169" t="s">
        <v>361</v>
      </c>
      <c r="C111" s="334">
        <f>'9.1.1. sz. mell ÖNK'!C112</f>
        <v>25030000</v>
      </c>
    </row>
    <row r="112" spans="1:3" ht="12" customHeight="1" x14ac:dyDescent="0.25">
      <c r="A112" s="14" t="s">
        <v>446</v>
      </c>
      <c r="B112" s="11" t="s">
        <v>50</v>
      </c>
      <c r="C112" s="334">
        <f>'9.1.1. sz. mell ÖNK'!C113</f>
        <v>70523591</v>
      </c>
    </row>
    <row r="113" spans="1:3" ht="12" customHeight="1" x14ac:dyDescent="0.25">
      <c r="A113" s="14" t="s">
        <v>447</v>
      </c>
      <c r="B113" s="8" t="s">
        <v>449</v>
      </c>
      <c r="C113" s="334">
        <f>'9.1.1. sz. mell ÖNK'!C114</f>
        <v>0</v>
      </c>
    </row>
    <row r="114" spans="1:3" ht="12" customHeight="1" thickBot="1" x14ac:dyDescent="0.3">
      <c r="A114" s="16" t="s">
        <v>448</v>
      </c>
      <c r="B114" s="589" t="s">
        <v>450</v>
      </c>
      <c r="C114" s="334">
        <f>'9.1.1. sz. mell ÖNK'!C115</f>
        <v>70523591</v>
      </c>
    </row>
    <row r="115" spans="1:3" ht="12" customHeight="1" thickBot="1" x14ac:dyDescent="0.3">
      <c r="A115" s="20" t="s">
        <v>19</v>
      </c>
      <c r="B115" s="30" t="s">
        <v>362</v>
      </c>
      <c r="C115" s="330">
        <f>+C116+C118+C120</f>
        <v>856576457</v>
      </c>
    </row>
    <row r="116" spans="1:3" ht="12" customHeight="1" x14ac:dyDescent="0.25">
      <c r="A116" s="15" t="s">
        <v>105</v>
      </c>
      <c r="B116" s="8" t="s">
        <v>225</v>
      </c>
      <c r="C116" s="333">
        <f>'9.1.1. sz. mell ÖNK'!C117+'9.2.1. sz. mell HIV'!C53+'9.3.1. sz. mell GAM'!C52+'9.4.1. sz. mell ILMKS'!C52+'9.5.1. sz. mell OVI'!C52+'9.6.1. sz. mell CSSK'!C52</f>
        <v>841998158</v>
      </c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>
        <f>'9.1.1. sz. mell ÖNK'!C119+'9.2.1. sz. mell HIV'!C54+'9.3.1. sz. mell GAM'!C53+'9.4.1. sz. mell ILMKS'!C53+'9.5.1. sz. mell OVI'!C53+'9.6.1. sz. mell CSSK'!C53</f>
        <v>10509250</v>
      </c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>
        <f>'9.1.1. sz. mell ÖNK'!C121+'9.2.1. sz. mell HIV'!C55+'9.3.1. sz. mell GAM'!C54+'9.4.1. sz. mell ILMKS'!C54+'9.5.1. sz. mell OVI'!C54</f>
        <v>4069049</v>
      </c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2030533065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4272000</v>
      </c>
    </row>
    <row r="131" spans="1:3" ht="12" customHeight="1" x14ac:dyDescent="0.25">
      <c r="A131" s="15" t="s">
        <v>267</v>
      </c>
      <c r="B131" s="12" t="s">
        <v>459</v>
      </c>
      <c r="C131" s="297">
        <f>'9.1.1. sz. mell ÖNK'!C132</f>
        <v>4272000</v>
      </c>
    </row>
    <row r="132" spans="1:3" ht="12" customHeight="1" x14ac:dyDescent="0.25">
      <c r="A132" s="15" t="s">
        <v>268</v>
      </c>
      <c r="B132" s="12" t="s">
        <v>460</v>
      </c>
      <c r="C132" s="297">
        <f>'9.1.1. sz. mell ÖNK'!C133</f>
        <v>0</v>
      </c>
    </row>
    <row r="133" spans="1:3" ht="12" customHeight="1" thickBot="1" x14ac:dyDescent="0.3">
      <c r="A133" s="13" t="s">
        <v>269</v>
      </c>
      <c r="B133" s="12" t="s">
        <v>461</v>
      </c>
      <c r="C133" s="297">
        <f>'9.1.1. sz. mell ÖNK'!C134</f>
        <v>0</v>
      </c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>
        <f>'9.1.1. sz. mell ÖNK'!C136</f>
        <v>0</v>
      </c>
    </row>
    <row r="136" spans="1:3" ht="12" customHeight="1" x14ac:dyDescent="0.25">
      <c r="A136" s="15" t="s">
        <v>93</v>
      </c>
      <c r="B136" s="9" t="s">
        <v>454</v>
      </c>
      <c r="C136" s="297">
        <f>'9.1.1. sz. mell ÖNK'!C137</f>
        <v>0</v>
      </c>
    </row>
    <row r="137" spans="1:3" ht="12" customHeight="1" x14ac:dyDescent="0.25">
      <c r="A137" s="15" t="s">
        <v>94</v>
      </c>
      <c r="B137" s="9" t="s">
        <v>455</v>
      </c>
      <c r="C137" s="297">
        <f>'9.1.1. sz. mell ÖNK'!C138</f>
        <v>0</v>
      </c>
    </row>
    <row r="138" spans="1:3" ht="12" customHeight="1" x14ac:dyDescent="0.25">
      <c r="A138" s="15" t="s">
        <v>172</v>
      </c>
      <c r="B138" s="9" t="s">
        <v>456</v>
      </c>
      <c r="C138" s="297">
        <f>'9.1.1. sz. mell ÖNK'!C139</f>
        <v>0</v>
      </c>
    </row>
    <row r="139" spans="1:3" ht="12" customHeight="1" x14ac:dyDescent="0.25">
      <c r="A139" s="15" t="s">
        <v>173</v>
      </c>
      <c r="B139" s="9" t="s">
        <v>457</v>
      </c>
      <c r="C139" s="297">
        <f>'9.1.1. sz. mell ÖNK'!C140</f>
        <v>0</v>
      </c>
    </row>
    <row r="140" spans="1:3" ht="12" customHeight="1" thickBot="1" x14ac:dyDescent="0.3">
      <c r="A140" s="13" t="s">
        <v>174</v>
      </c>
      <c r="B140" s="9" t="s">
        <v>458</v>
      </c>
      <c r="C140" s="297">
        <f>'9.1.1. sz. mell ÖNK'!C141</f>
        <v>0</v>
      </c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19640140</v>
      </c>
    </row>
    <row r="142" spans="1:3" ht="12" customHeight="1" x14ac:dyDescent="0.25">
      <c r="A142" s="15" t="s">
        <v>95</v>
      </c>
      <c r="B142" s="9" t="s">
        <v>373</v>
      </c>
      <c r="C142" s="297">
        <f>'9.1.1. sz. mell ÖNK'!C143</f>
        <v>0</v>
      </c>
    </row>
    <row r="143" spans="1:3" ht="12" customHeight="1" x14ac:dyDescent="0.25">
      <c r="A143" s="15" t="s">
        <v>96</v>
      </c>
      <c r="B143" s="9" t="s">
        <v>374</v>
      </c>
      <c r="C143" s="297">
        <f>'9.1.1. sz. mell ÖNK'!C144</f>
        <v>18607309</v>
      </c>
    </row>
    <row r="144" spans="1:3" ht="12" customHeight="1" x14ac:dyDescent="0.25">
      <c r="A144" s="15" t="s">
        <v>287</v>
      </c>
      <c r="B144" s="9" t="s">
        <v>467</v>
      </c>
      <c r="C144" s="297">
        <f>'9.1.1. sz. mell ÖNK'!C146</f>
        <v>0</v>
      </c>
    </row>
    <row r="145" spans="1:9" ht="12" customHeight="1" thickBot="1" x14ac:dyDescent="0.3">
      <c r="A145" s="13" t="s">
        <v>288</v>
      </c>
      <c r="B145" s="7" t="s">
        <v>393</v>
      </c>
      <c r="C145" s="297">
        <f>'9.1.1. sz. mell ÖNK'!C147</f>
        <v>1032831</v>
      </c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5"/>
    </row>
    <row r="153" spans="1:9" ht="12" customHeight="1" thickBot="1" x14ac:dyDescent="0.3">
      <c r="A153" s="20" t="s">
        <v>26</v>
      </c>
      <c r="B153" s="150" t="s">
        <v>474</v>
      </c>
      <c r="C153" s="535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23912140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2054445205</v>
      </c>
    </row>
    <row r="156" spans="1:9" ht="7.5" customHeight="1" x14ac:dyDescent="0.25"/>
    <row r="157" spans="1:9" x14ac:dyDescent="0.25">
      <c r="A157" s="672" t="s">
        <v>375</v>
      </c>
      <c r="B157" s="672"/>
      <c r="C157" s="672"/>
    </row>
    <row r="158" spans="1:9" ht="15" customHeight="1" thickBot="1" x14ac:dyDescent="0.3">
      <c r="A158" s="670" t="s">
        <v>154</v>
      </c>
      <c r="B158" s="670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-647157949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672035352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dőlt"&amp;11 1.2. melléklet a 4/2018. (II. 20.)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+CONCATENATE("9.4.3. melléklet a 4/",LEFT(ÖSSZEFÜGGÉSEK!A5,4),". (II. 20.) önkormányzati rendelethez")</f>
        <v>9.4.3.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571</v>
      </c>
      <c r="C2" s="405" t="s">
        <v>434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577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>
        <v>0</v>
      </c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 melléklet a 4/",LEFT(ÖSSZEFÜGGÉSEK!A5,4),". (II. 20.) önkormányzati rendelethez")</f>
        <v>9.5.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106415821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'9.5.1. sz. mell OVI'!C38+'9.5.2. sz. mell OVI'!C38+'9.5.3. sz. mell OVI'!C38</f>
        <v>0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'9.5.1. sz. mell OVI'!C40+'9.5.2. sz. mell OVI'!C40+'9.5.3. sz. mell OVI'!C40</f>
        <v>106415821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106415821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106015821</v>
      </c>
    </row>
    <row r="46" spans="1:3" ht="12" customHeight="1" x14ac:dyDescent="0.2">
      <c r="A46" s="494" t="s">
        <v>99</v>
      </c>
      <c r="B46" s="9" t="s">
        <v>49</v>
      </c>
      <c r="C46" s="94">
        <f>'9.5.1. sz. mell OVI'!C46</f>
        <v>79083774</v>
      </c>
    </row>
    <row r="47" spans="1:3" ht="12" customHeight="1" x14ac:dyDescent="0.2">
      <c r="A47" s="494" t="s">
        <v>100</v>
      </c>
      <c r="B47" s="8" t="s">
        <v>180</v>
      </c>
      <c r="C47" s="94">
        <f>'9.5.1. sz. mell OVI'!C47</f>
        <v>15668747</v>
      </c>
    </row>
    <row r="48" spans="1:3" ht="12" customHeight="1" x14ac:dyDescent="0.2">
      <c r="A48" s="494" t="s">
        <v>101</v>
      </c>
      <c r="B48" s="8" t="s">
        <v>141</v>
      </c>
      <c r="C48" s="94">
        <f>'9.5.1. sz. mell OVI'!C48</f>
        <v>11263300</v>
      </c>
    </row>
    <row r="49" spans="1:3" ht="12" customHeight="1" x14ac:dyDescent="0.2">
      <c r="A49" s="494" t="s">
        <v>102</v>
      </c>
      <c r="B49" s="8" t="s">
        <v>181</v>
      </c>
      <c r="C49" s="94">
        <f>'9.5.1. sz. mell OVI'!C49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'9.5.1. sz. mell OVI'!C50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'9.5.1. sz. mell OVI'!C52</f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106415821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f>+'9.5.1. sz. mell OVI'!C59</f>
        <v>29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+CONCATENATE("9.5.1. melléklet a 4/",LEFT(ÖSSZEFÜGGÉSEK!A5,4),". (II. 20.) önkormányzati rendelethez")</f>
        <v>9.5.1.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106415821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106415821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106415821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106015821</v>
      </c>
    </row>
    <row r="46" spans="1:3" ht="12" customHeight="1" x14ac:dyDescent="0.2">
      <c r="A46" s="494" t="s">
        <v>99</v>
      </c>
      <c r="B46" s="9" t="s">
        <v>49</v>
      </c>
      <c r="C46" s="94">
        <f>81548279-2464505</f>
        <v>79083774</v>
      </c>
    </row>
    <row r="47" spans="1:3" ht="12" customHeight="1" x14ac:dyDescent="0.2">
      <c r="A47" s="494" t="s">
        <v>100</v>
      </c>
      <c r="B47" s="8" t="s">
        <v>180</v>
      </c>
      <c r="C47" s="97">
        <f>16149326-480579</f>
        <v>15668747</v>
      </c>
    </row>
    <row r="48" spans="1:3" ht="12" customHeight="1" x14ac:dyDescent="0.2">
      <c r="A48" s="494" t="s">
        <v>101</v>
      </c>
      <c r="B48" s="8" t="s">
        <v>141</v>
      </c>
      <c r="C48" s="97">
        <v>11263300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400000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400000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106415821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29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+CONCATENATE("9.5.2. melléklet a 4/",LEFT(ÖSSZEFÜGGÉSEK!A5,4),". (II. 20.) önkormányzati rendelethez")</f>
        <v>9.5.2.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+CONCATENATE("9.5.3. melléklet a 4/",LEFT(ÖSSZEFÜGGÉSEK!A5,4),". (II. 20.) önkormányzati rendelethez")</f>
        <v>9.5.3.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572</v>
      </c>
      <c r="C2" s="405" t="s">
        <v>576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 melléklet a 4/",LEFT(ÖSSZEFÜGGÉSEK!A5,4),". (II. 20.) önkormányzati rendelethez")</f>
        <v>9.6.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634</v>
      </c>
      <c r="C2" s="405" t="s">
        <v>635</v>
      </c>
    </row>
    <row r="3" spans="1:3" s="499" customFormat="1" ht="24.75" thickBot="1" x14ac:dyDescent="0.25">
      <c r="A3" s="492" t="s">
        <v>200</v>
      </c>
      <c r="B3" s="392" t="s">
        <v>401</v>
      </c>
      <c r="C3" s="406"/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42674990</v>
      </c>
    </row>
    <row r="38" spans="1:3" s="407" customFormat="1" ht="12" customHeight="1" x14ac:dyDescent="0.2">
      <c r="A38" s="495" t="s">
        <v>413</v>
      </c>
      <c r="B38" s="496" t="s">
        <v>235</v>
      </c>
      <c r="C38" s="94">
        <f>'9.5.1. sz. mell OVI'!C38+'9.5.2. sz. mell OVI'!C38+'9.5.3. sz. mell OVI'!C38</f>
        <v>0</v>
      </c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'9.6.1. sz. mell CSSK'!C40+'9.6.2. sz. mell CSSK'!C40+'9.6.3. sz. mell CSSK'!C40</f>
        <v>42674990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42674990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42574990</v>
      </c>
    </row>
    <row r="46" spans="1:3" ht="12" customHeight="1" x14ac:dyDescent="0.2">
      <c r="A46" s="494" t="s">
        <v>99</v>
      </c>
      <c r="B46" s="9" t="s">
        <v>49</v>
      </c>
      <c r="C46" s="94">
        <f>'9.6.1. sz. mell CSSK'!C46</f>
        <v>29899551</v>
      </c>
    </row>
    <row r="47" spans="1:3" ht="12" customHeight="1" x14ac:dyDescent="0.2">
      <c r="A47" s="494" t="s">
        <v>100</v>
      </c>
      <c r="B47" s="8" t="s">
        <v>180</v>
      </c>
      <c r="C47" s="94">
        <f>'9.6.1. sz. mell CSSK'!C47</f>
        <v>6593659</v>
      </c>
    </row>
    <row r="48" spans="1:3" ht="12" customHeight="1" x14ac:dyDescent="0.2">
      <c r="A48" s="494" t="s">
        <v>101</v>
      </c>
      <c r="B48" s="8" t="s">
        <v>141</v>
      </c>
      <c r="C48" s="94">
        <f>'9.6.1. sz. mell CSSK'!C48</f>
        <v>6081780</v>
      </c>
    </row>
    <row r="49" spans="1:3" ht="12" customHeight="1" x14ac:dyDescent="0.2">
      <c r="A49" s="494" t="s">
        <v>102</v>
      </c>
      <c r="B49" s="8" t="s">
        <v>181</v>
      </c>
      <c r="C49" s="94">
        <f>'9.6.1. sz. mell CSSK'!C49</f>
        <v>0</v>
      </c>
    </row>
    <row r="50" spans="1:3" ht="12" customHeight="1" thickBot="1" x14ac:dyDescent="0.25">
      <c r="A50" s="494" t="s">
        <v>148</v>
      </c>
      <c r="B50" s="8" t="s">
        <v>182</v>
      </c>
      <c r="C50" s="94">
        <f>'9.6.1. sz. mell CSSK'!C50</f>
        <v>0</v>
      </c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100000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f>+'9.6.1. sz. mell CSSK'!C52</f>
        <v>100000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42674990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+CONCATENATE("9.6.1. melléklet a 4/",LEFT(ÖSSZEFÜGGÉSEK!A5,4),". (II. 20.) önkormányzati rendelethez")</f>
        <v>9.6.1.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634</v>
      </c>
      <c r="C2" s="405" t="s">
        <v>635</v>
      </c>
    </row>
    <row r="3" spans="1:3" s="499" customFormat="1" ht="24.75" thickBot="1" x14ac:dyDescent="0.25">
      <c r="A3" s="492" t="s">
        <v>200</v>
      </c>
      <c r="B3" s="392" t="s">
        <v>420</v>
      </c>
      <c r="C3" s="406" t="s">
        <v>54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42674990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>
        <f>C57-C36</f>
        <v>42674990</v>
      </c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42674990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42574990</v>
      </c>
    </row>
    <row r="46" spans="1:3" ht="12" customHeight="1" x14ac:dyDescent="0.2">
      <c r="A46" s="494" t="s">
        <v>99</v>
      </c>
      <c r="B46" s="9" t="s">
        <v>49</v>
      </c>
      <c r="C46" s="94">
        <v>29899551</v>
      </c>
    </row>
    <row r="47" spans="1:3" ht="12" customHeight="1" x14ac:dyDescent="0.2">
      <c r="A47" s="494" t="s">
        <v>100</v>
      </c>
      <c r="B47" s="8" t="s">
        <v>180</v>
      </c>
      <c r="C47" s="97">
        <v>6593659</v>
      </c>
    </row>
    <row r="48" spans="1:3" ht="12" customHeight="1" x14ac:dyDescent="0.2">
      <c r="A48" s="494" t="s">
        <v>101</v>
      </c>
      <c r="B48" s="8" t="s">
        <v>141</v>
      </c>
      <c r="C48" s="97">
        <v>6081780</v>
      </c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100000</v>
      </c>
    </row>
    <row r="52" spans="1:3" s="503" customFormat="1" ht="12" customHeight="1" x14ac:dyDescent="0.2">
      <c r="A52" s="494" t="s">
        <v>105</v>
      </c>
      <c r="B52" s="9" t="s">
        <v>225</v>
      </c>
      <c r="C52" s="94">
        <v>100000</v>
      </c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42674990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>
        <v>8</v>
      </c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+CONCATENATE("9.6.2. melléklet a 4/",LEFT(ÖSSZEFÜGGÉSEK!A5,4),". (II. 20.) önkormányzati rendelethez")</f>
        <v>9.6.2.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634</v>
      </c>
      <c r="C2" s="405" t="s">
        <v>635</v>
      </c>
    </row>
    <row r="3" spans="1:3" s="499" customFormat="1" ht="24.75" thickBot="1" x14ac:dyDescent="0.25">
      <c r="A3" s="492" t="s">
        <v>200</v>
      </c>
      <c r="B3" s="392" t="s">
        <v>421</v>
      </c>
      <c r="C3" s="406" t="s">
        <v>59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2" sqref="C2"/>
    </sheetView>
  </sheetViews>
  <sheetFormatPr defaultRowHeight="12.75" x14ac:dyDescent="0.2"/>
  <cols>
    <col min="1" max="1" width="13.83203125" style="274" customWidth="1"/>
    <col min="2" max="2" width="79.1640625" style="275" customWidth="1"/>
    <col min="3" max="3" width="25" style="275" customWidth="1"/>
    <col min="4" max="16384" width="9.33203125" style="275"/>
  </cols>
  <sheetData>
    <row r="1" spans="1:3" s="255" customFormat="1" ht="21" customHeight="1" thickBot="1" x14ac:dyDescent="0.25">
      <c r="A1" s="254"/>
      <c r="B1" s="256"/>
      <c r="C1" s="498" t="str">
        <f>+CONCATENATE("9.6.3. melléklet a 4/",LEFT(ÖSSZEFÜGGÉSEK!A5,4),". (II. 20.) önkormányzati rendelethez")</f>
        <v>9.6.3. melléklet a 4/2018. (II. 20.) önkormányzati rendelethez</v>
      </c>
    </row>
    <row r="2" spans="1:3" s="499" customFormat="1" ht="25.5" customHeight="1" x14ac:dyDescent="0.2">
      <c r="A2" s="449" t="s">
        <v>201</v>
      </c>
      <c r="B2" s="391" t="s">
        <v>634</v>
      </c>
      <c r="C2" s="405" t="s">
        <v>635</v>
      </c>
    </row>
    <row r="3" spans="1:3" s="499" customFormat="1" ht="24.75" thickBot="1" x14ac:dyDescent="0.25">
      <c r="A3" s="492" t="s">
        <v>200</v>
      </c>
      <c r="B3" s="392" t="s">
        <v>533</v>
      </c>
      <c r="C3" s="406" t="s">
        <v>60</v>
      </c>
    </row>
    <row r="4" spans="1:3" s="500" customFormat="1" ht="15.95" customHeight="1" thickBot="1" x14ac:dyDescent="0.3">
      <c r="A4" s="258"/>
      <c r="B4" s="258"/>
      <c r="C4" s="259" t="s">
        <v>55</v>
      </c>
    </row>
    <row r="5" spans="1:3" ht="13.5" thickBot="1" x14ac:dyDescent="0.25">
      <c r="A5" s="450" t="s">
        <v>202</v>
      </c>
      <c r="B5" s="260" t="s">
        <v>566</v>
      </c>
      <c r="C5" s="394" t="s">
        <v>670</v>
      </c>
    </row>
    <row r="6" spans="1:3" s="501" customFormat="1" ht="12.95" customHeight="1" thickBot="1" x14ac:dyDescent="0.25">
      <c r="A6" s="223"/>
      <c r="B6" s="224" t="s">
        <v>495</v>
      </c>
      <c r="C6" s="225" t="s">
        <v>496</v>
      </c>
    </row>
    <row r="7" spans="1:3" s="501" customFormat="1" ht="15.95" customHeight="1" thickBot="1" x14ac:dyDescent="0.25">
      <c r="A7" s="261"/>
      <c r="B7" s="262" t="s">
        <v>56</v>
      </c>
      <c r="C7" s="263"/>
    </row>
    <row r="8" spans="1:3" s="407" customFormat="1" ht="12" customHeight="1" thickBot="1" x14ac:dyDescent="0.25">
      <c r="A8" s="223" t="s">
        <v>18</v>
      </c>
      <c r="B8" s="264" t="s">
        <v>521</v>
      </c>
      <c r="C8" s="350">
        <f>SUM(C9:C19)</f>
        <v>0</v>
      </c>
    </row>
    <row r="9" spans="1:3" s="407" customFormat="1" ht="12" customHeight="1" x14ac:dyDescent="0.2">
      <c r="A9" s="493" t="s">
        <v>99</v>
      </c>
      <c r="B9" s="10" t="s">
        <v>276</v>
      </c>
      <c r="C9" s="396"/>
    </row>
    <row r="10" spans="1:3" s="407" customFormat="1" ht="12" customHeight="1" x14ac:dyDescent="0.2">
      <c r="A10" s="494" t="s">
        <v>100</v>
      </c>
      <c r="B10" s="8" t="s">
        <v>277</v>
      </c>
      <c r="C10" s="348"/>
    </row>
    <row r="11" spans="1:3" s="407" customFormat="1" ht="12" customHeight="1" x14ac:dyDescent="0.2">
      <c r="A11" s="494" t="s">
        <v>101</v>
      </c>
      <c r="B11" s="8" t="s">
        <v>278</v>
      </c>
      <c r="C11" s="348"/>
    </row>
    <row r="12" spans="1:3" s="407" customFormat="1" ht="12" customHeight="1" x14ac:dyDescent="0.2">
      <c r="A12" s="494" t="s">
        <v>102</v>
      </c>
      <c r="B12" s="8" t="s">
        <v>279</v>
      </c>
      <c r="C12" s="348"/>
    </row>
    <row r="13" spans="1:3" s="407" customFormat="1" ht="12" customHeight="1" x14ac:dyDescent="0.2">
      <c r="A13" s="494" t="s">
        <v>148</v>
      </c>
      <c r="B13" s="8" t="s">
        <v>280</v>
      </c>
      <c r="C13" s="348"/>
    </row>
    <row r="14" spans="1:3" s="407" customFormat="1" ht="12" customHeight="1" x14ac:dyDescent="0.2">
      <c r="A14" s="494" t="s">
        <v>103</v>
      </c>
      <c r="B14" s="8" t="s">
        <v>402</v>
      </c>
      <c r="C14" s="348"/>
    </row>
    <row r="15" spans="1:3" s="407" customFormat="1" ht="12" customHeight="1" x14ac:dyDescent="0.2">
      <c r="A15" s="494" t="s">
        <v>104</v>
      </c>
      <c r="B15" s="7" t="s">
        <v>403</v>
      </c>
      <c r="C15" s="348"/>
    </row>
    <row r="16" spans="1:3" s="407" customFormat="1" ht="12" customHeight="1" x14ac:dyDescent="0.2">
      <c r="A16" s="494" t="s">
        <v>114</v>
      </c>
      <c r="B16" s="8" t="s">
        <v>283</v>
      </c>
      <c r="C16" s="397"/>
    </row>
    <row r="17" spans="1:3" s="502" customFormat="1" ht="12" customHeight="1" x14ac:dyDescent="0.2">
      <c r="A17" s="494" t="s">
        <v>115</v>
      </c>
      <c r="B17" s="8" t="s">
        <v>284</v>
      </c>
      <c r="C17" s="348"/>
    </row>
    <row r="18" spans="1:3" s="502" customFormat="1" ht="12" customHeight="1" x14ac:dyDescent="0.2">
      <c r="A18" s="494" t="s">
        <v>116</v>
      </c>
      <c r="B18" s="8" t="s">
        <v>439</v>
      </c>
      <c r="C18" s="349"/>
    </row>
    <row r="19" spans="1:3" s="502" customFormat="1" ht="12" customHeight="1" thickBot="1" x14ac:dyDescent="0.25">
      <c r="A19" s="494" t="s">
        <v>117</v>
      </c>
      <c r="B19" s="7" t="s">
        <v>285</v>
      </c>
      <c r="C19" s="349"/>
    </row>
    <row r="20" spans="1:3" s="407" customFormat="1" ht="12" customHeight="1" thickBot="1" x14ac:dyDescent="0.25">
      <c r="A20" s="223" t="s">
        <v>19</v>
      </c>
      <c r="B20" s="264" t="s">
        <v>404</v>
      </c>
      <c r="C20" s="350">
        <f>SUM(C21:C23)</f>
        <v>0</v>
      </c>
    </row>
    <row r="21" spans="1:3" s="502" customFormat="1" ht="12" customHeight="1" x14ac:dyDescent="0.2">
      <c r="A21" s="494" t="s">
        <v>105</v>
      </c>
      <c r="B21" s="9" t="s">
        <v>257</v>
      </c>
      <c r="C21" s="348"/>
    </row>
    <row r="22" spans="1:3" s="502" customFormat="1" ht="12" customHeight="1" x14ac:dyDescent="0.2">
      <c r="A22" s="494" t="s">
        <v>106</v>
      </c>
      <c r="B22" s="8" t="s">
        <v>405</v>
      </c>
      <c r="C22" s="348"/>
    </row>
    <row r="23" spans="1:3" s="502" customFormat="1" ht="12" customHeight="1" x14ac:dyDescent="0.2">
      <c r="A23" s="494" t="s">
        <v>107</v>
      </c>
      <c r="B23" s="8" t="s">
        <v>406</v>
      </c>
      <c r="C23" s="348"/>
    </row>
    <row r="24" spans="1:3" s="502" customFormat="1" ht="12" customHeight="1" thickBot="1" x14ac:dyDescent="0.25">
      <c r="A24" s="494" t="s">
        <v>108</v>
      </c>
      <c r="B24" s="8" t="s">
        <v>526</v>
      </c>
      <c r="C24" s="348"/>
    </row>
    <row r="25" spans="1:3" s="502" customFormat="1" ht="12" customHeight="1" thickBot="1" x14ac:dyDescent="0.25">
      <c r="A25" s="230" t="s">
        <v>20</v>
      </c>
      <c r="B25" s="150" t="s">
        <v>171</v>
      </c>
      <c r="C25" s="377"/>
    </row>
    <row r="26" spans="1:3" s="502" customFormat="1" ht="12" customHeight="1" thickBot="1" x14ac:dyDescent="0.25">
      <c r="A26" s="230" t="s">
        <v>21</v>
      </c>
      <c r="B26" s="150" t="s">
        <v>407</v>
      </c>
      <c r="C26" s="350">
        <f>+C27+C28</f>
        <v>0</v>
      </c>
    </row>
    <row r="27" spans="1:3" s="502" customFormat="1" ht="12" customHeight="1" x14ac:dyDescent="0.2">
      <c r="A27" s="495" t="s">
        <v>267</v>
      </c>
      <c r="B27" s="496" t="s">
        <v>405</v>
      </c>
      <c r="C27" s="94"/>
    </row>
    <row r="28" spans="1:3" s="502" customFormat="1" ht="12" customHeight="1" x14ac:dyDescent="0.2">
      <c r="A28" s="495" t="s">
        <v>268</v>
      </c>
      <c r="B28" s="497" t="s">
        <v>408</v>
      </c>
      <c r="C28" s="351"/>
    </row>
    <row r="29" spans="1:3" s="502" customFormat="1" ht="12" customHeight="1" thickBot="1" x14ac:dyDescent="0.25">
      <c r="A29" s="494" t="s">
        <v>269</v>
      </c>
      <c r="B29" s="166" t="s">
        <v>527</v>
      </c>
      <c r="C29" s="101"/>
    </row>
    <row r="30" spans="1:3" s="502" customFormat="1" ht="12" customHeight="1" thickBot="1" x14ac:dyDescent="0.25">
      <c r="A30" s="230" t="s">
        <v>22</v>
      </c>
      <c r="B30" s="150" t="s">
        <v>409</v>
      </c>
      <c r="C30" s="350">
        <f>+C31+C32+C33</f>
        <v>0</v>
      </c>
    </row>
    <row r="31" spans="1:3" s="502" customFormat="1" ht="12" customHeight="1" x14ac:dyDescent="0.2">
      <c r="A31" s="495" t="s">
        <v>92</v>
      </c>
      <c r="B31" s="496" t="s">
        <v>290</v>
      </c>
      <c r="C31" s="94"/>
    </row>
    <row r="32" spans="1:3" s="502" customFormat="1" ht="12" customHeight="1" x14ac:dyDescent="0.2">
      <c r="A32" s="495" t="s">
        <v>93</v>
      </c>
      <c r="B32" s="497" t="s">
        <v>291</v>
      </c>
      <c r="C32" s="351"/>
    </row>
    <row r="33" spans="1:3" s="502" customFormat="1" ht="12" customHeight="1" thickBot="1" x14ac:dyDescent="0.25">
      <c r="A33" s="494" t="s">
        <v>94</v>
      </c>
      <c r="B33" s="166" t="s">
        <v>292</v>
      </c>
      <c r="C33" s="101"/>
    </row>
    <row r="34" spans="1:3" s="407" customFormat="1" ht="12" customHeight="1" thickBot="1" x14ac:dyDescent="0.25">
      <c r="A34" s="230" t="s">
        <v>23</v>
      </c>
      <c r="B34" s="150" t="s">
        <v>378</v>
      </c>
      <c r="C34" s="377"/>
    </row>
    <row r="35" spans="1:3" s="407" customFormat="1" ht="12" customHeight="1" thickBot="1" x14ac:dyDescent="0.25">
      <c r="A35" s="230" t="s">
        <v>24</v>
      </c>
      <c r="B35" s="150" t="s">
        <v>410</v>
      </c>
      <c r="C35" s="398"/>
    </row>
    <row r="36" spans="1:3" s="407" customFormat="1" ht="12" customHeight="1" thickBot="1" x14ac:dyDescent="0.25">
      <c r="A36" s="223" t="s">
        <v>25</v>
      </c>
      <c r="B36" s="150" t="s">
        <v>528</v>
      </c>
      <c r="C36" s="399">
        <f>+C8+C20+C25+C26+C30+C34+C35</f>
        <v>0</v>
      </c>
    </row>
    <row r="37" spans="1:3" s="407" customFormat="1" ht="12" customHeight="1" thickBot="1" x14ac:dyDescent="0.25">
      <c r="A37" s="265" t="s">
        <v>26</v>
      </c>
      <c r="B37" s="150" t="s">
        <v>412</v>
      </c>
      <c r="C37" s="399">
        <f>+C38+C39+C40</f>
        <v>0</v>
      </c>
    </row>
    <row r="38" spans="1:3" s="407" customFormat="1" ht="12" customHeight="1" x14ac:dyDescent="0.2">
      <c r="A38" s="495" t="s">
        <v>413</v>
      </c>
      <c r="B38" s="496" t="s">
        <v>235</v>
      </c>
      <c r="C38" s="94"/>
    </row>
    <row r="39" spans="1:3" s="407" customFormat="1" ht="12" customHeight="1" x14ac:dyDescent="0.2">
      <c r="A39" s="495" t="s">
        <v>414</v>
      </c>
      <c r="B39" s="497" t="s">
        <v>2</v>
      </c>
      <c r="C39" s="351"/>
    </row>
    <row r="40" spans="1:3" s="502" customFormat="1" ht="12" customHeight="1" thickBot="1" x14ac:dyDescent="0.25">
      <c r="A40" s="494" t="s">
        <v>415</v>
      </c>
      <c r="B40" s="166" t="s">
        <v>416</v>
      </c>
      <c r="C40" s="101"/>
    </row>
    <row r="41" spans="1:3" s="502" customFormat="1" ht="15" customHeight="1" thickBot="1" x14ac:dyDescent="0.25">
      <c r="A41" s="265" t="s">
        <v>27</v>
      </c>
      <c r="B41" s="266" t="s">
        <v>417</v>
      </c>
      <c r="C41" s="402">
        <f>+C36+C37</f>
        <v>0</v>
      </c>
    </row>
    <row r="42" spans="1:3" s="502" customFormat="1" ht="15" customHeight="1" x14ac:dyDescent="0.2">
      <c r="A42" s="267"/>
      <c r="B42" s="268"/>
      <c r="C42" s="400"/>
    </row>
    <row r="43" spans="1:3" ht="13.5" thickBot="1" x14ac:dyDescent="0.25">
      <c r="A43" s="269"/>
      <c r="B43" s="270"/>
      <c r="C43" s="401"/>
    </row>
    <row r="44" spans="1:3" s="501" customFormat="1" ht="16.5" customHeight="1" thickBot="1" x14ac:dyDescent="0.25">
      <c r="A44" s="271"/>
      <c r="B44" s="272" t="s">
        <v>57</v>
      </c>
      <c r="C44" s="402"/>
    </row>
    <row r="45" spans="1:3" s="503" customFormat="1" ht="12" customHeight="1" thickBot="1" x14ac:dyDescent="0.25">
      <c r="A45" s="230" t="s">
        <v>18</v>
      </c>
      <c r="B45" s="150" t="s">
        <v>418</v>
      </c>
      <c r="C45" s="350">
        <f>SUM(C46:C50)</f>
        <v>0</v>
      </c>
    </row>
    <row r="46" spans="1:3" ht="12" customHeight="1" x14ac:dyDescent="0.2">
      <c r="A46" s="494" t="s">
        <v>99</v>
      </c>
      <c r="B46" s="9" t="s">
        <v>49</v>
      </c>
      <c r="C46" s="94"/>
    </row>
    <row r="47" spans="1:3" ht="12" customHeight="1" x14ac:dyDescent="0.2">
      <c r="A47" s="494" t="s">
        <v>100</v>
      </c>
      <c r="B47" s="8" t="s">
        <v>180</v>
      </c>
      <c r="C47" s="97"/>
    </row>
    <row r="48" spans="1:3" ht="12" customHeight="1" x14ac:dyDescent="0.2">
      <c r="A48" s="494" t="s">
        <v>101</v>
      </c>
      <c r="B48" s="8" t="s">
        <v>141</v>
      </c>
      <c r="C48" s="97"/>
    </row>
    <row r="49" spans="1:3" ht="12" customHeight="1" x14ac:dyDescent="0.2">
      <c r="A49" s="494" t="s">
        <v>102</v>
      </c>
      <c r="B49" s="8" t="s">
        <v>181</v>
      </c>
      <c r="C49" s="97"/>
    </row>
    <row r="50" spans="1:3" ht="12" customHeight="1" thickBot="1" x14ac:dyDescent="0.25">
      <c r="A50" s="494" t="s">
        <v>148</v>
      </c>
      <c r="B50" s="8" t="s">
        <v>182</v>
      </c>
      <c r="C50" s="97"/>
    </row>
    <row r="51" spans="1:3" ht="12" customHeight="1" thickBot="1" x14ac:dyDescent="0.25">
      <c r="A51" s="230" t="s">
        <v>19</v>
      </c>
      <c r="B51" s="150" t="s">
        <v>419</v>
      </c>
      <c r="C51" s="350">
        <f>SUM(C52:C54)</f>
        <v>0</v>
      </c>
    </row>
    <row r="52" spans="1:3" s="503" customFormat="1" ht="12" customHeight="1" x14ac:dyDescent="0.2">
      <c r="A52" s="494" t="s">
        <v>105</v>
      </c>
      <c r="B52" s="9" t="s">
        <v>225</v>
      </c>
      <c r="C52" s="94"/>
    </row>
    <row r="53" spans="1:3" ht="12" customHeight="1" x14ac:dyDescent="0.2">
      <c r="A53" s="494" t="s">
        <v>106</v>
      </c>
      <c r="B53" s="8" t="s">
        <v>184</v>
      </c>
      <c r="C53" s="97"/>
    </row>
    <row r="54" spans="1:3" ht="12" customHeight="1" x14ac:dyDescent="0.2">
      <c r="A54" s="494" t="s">
        <v>107</v>
      </c>
      <c r="B54" s="8" t="s">
        <v>58</v>
      </c>
      <c r="C54" s="97"/>
    </row>
    <row r="55" spans="1:3" ht="12" customHeight="1" thickBot="1" x14ac:dyDescent="0.25">
      <c r="A55" s="494" t="s">
        <v>108</v>
      </c>
      <c r="B55" s="8" t="s">
        <v>525</v>
      </c>
      <c r="C55" s="97"/>
    </row>
    <row r="56" spans="1:3" ht="15" customHeight="1" thickBot="1" x14ac:dyDescent="0.25">
      <c r="A56" s="230" t="s">
        <v>20</v>
      </c>
      <c r="B56" s="150" t="s">
        <v>12</v>
      </c>
      <c r="C56" s="377"/>
    </row>
    <row r="57" spans="1:3" ht="13.5" thickBot="1" x14ac:dyDescent="0.25">
      <c r="A57" s="230" t="s">
        <v>21</v>
      </c>
      <c r="B57" s="273" t="s">
        <v>532</v>
      </c>
      <c r="C57" s="403">
        <f>+C45+C51+C56</f>
        <v>0</v>
      </c>
    </row>
    <row r="58" spans="1:3" ht="15" customHeight="1" thickBot="1" x14ac:dyDescent="0.25">
      <c r="C58" s="404"/>
    </row>
    <row r="59" spans="1:3" ht="14.25" customHeight="1" thickBot="1" x14ac:dyDescent="0.25">
      <c r="A59" s="276" t="s">
        <v>520</v>
      </c>
      <c r="B59" s="277"/>
      <c r="C59" s="147"/>
    </row>
    <row r="60" spans="1:3" ht="13.5" thickBot="1" x14ac:dyDescent="0.25">
      <c r="A60" s="276" t="s">
        <v>203</v>
      </c>
      <c r="B60" s="277"/>
      <c r="C60" s="147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view="pageLayout" zoomScaleNormal="100" workbookViewId="0">
      <selection activeCell="G4" sqref="G4"/>
    </sheetView>
  </sheetViews>
  <sheetFormatPr defaultRowHeight="12.75" x14ac:dyDescent="0.2"/>
  <cols>
    <col min="1" max="1" width="5.5" style="52" customWidth="1"/>
    <col min="2" max="2" width="33.1640625" style="52" customWidth="1"/>
    <col min="3" max="3" width="12.33203125" style="52" customWidth="1"/>
    <col min="4" max="4" width="11.5" style="52" customWidth="1"/>
    <col min="5" max="5" width="11.33203125" style="52" customWidth="1"/>
    <col min="6" max="6" width="11" style="52" customWidth="1"/>
    <col min="7" max="7" width="14.33203125" style="52" customWidth="1"/>
    <col min="8" max="16384" width="9.33203125" style="52"/>
  </cols>
  <sheetData>
    <row r="1" spans="1:7" ht="43.5" customHeight="1" x14ac:dyDescent="0.25">
      <c r="A1" s="696" t="s">
        <v>3</v>
      </c>
      <c r="B1" s="696"/>
      <c r="C1" s="696"/>
      <c r="D1" s="696"/>
      <c r="E1" s="696"/>
      <c r="F1" s="696"/>
      <c r="G1" s="696"/>
    </row>
    <row r="3" spans="1:7" s="189" customFormat="1" ht="27" customHeight="1" x14ac:dyDescent="0.25">
      <c r="A3" s="187" t="s">
        <v>207</v>
      </c>
      <c r="B3" s="188"/>
      <c r="C3" s="695" t="s">
        <v>728</v>
      </c>
      <c r="D3" s="695"/>
      <c r="E3" s="695"/>
      <c r="F3" s="695"/>
      <c r="G3" s="695"/>
    </row>
    <row r="4" spans="1:7" s="189" customFormat="1" ht="15.75" x14ac:dyDescent="0.25">
      <c r="A4" s="188"/>
      <c r="B4" s="188"/>
      <c r="C4" s="188"/>
      <c r="D4" s="188"/>
      <c r="E4" s="188"/>
      <c r="F4" s="188"/>
      <c r="G4" s="188"/>
    </row>
    <row r="5" spans="1:7" s="189" customFormat="1" ht="24.75" customHeight="1" x14ac:dyDescent="0.25">
      <c r="A5" s="187" t="s">
        <v>208</v>
      </c>
      <c r="B5" s="188"/>
      <c r="C5" s="695" t="s">
        <v>605</v>
      </c>
      <c r="D5" s="695"/>
      <c r="E5" s="695"/>
      <c r="F5" s="695"/>
      <c r="G5" s="188"/>
    </row>
    <row r="6" spans="1:7" s="190" customFormat="1" x14ac:dyDescent="0.2">
      <c r="A6" s="240"/>
      <c r="B6" s="240"/>
      <c r="C6" s="240"/>
      <c r="D6" s="240"/>
      <c r="E6" s="240"/>
      <c r="F6" s="240"/>
      <c r="G6" s="240"/>
    </row>
    <row r="7" spans="1:7" s="191" customFormat="1" ht="15" customHeight="1" x14ac:dyDescent="0.25">
      <c r="A7" s="295" t="s">
        <v>729</v>
      </c>
      <c r="B7" s="294"/>
      <c r="C7" s="294"/>
      <c r="D7" s="280"/>
      <c r="E7" s="280"/>
      <c r="F7" s="280"/>
      <c r="G7" s="280"/>
    </row>
    <row r="8" spans="1:7" s="191" customFormat="1" ht="15" customHeight="1" thickBot="1" x14ac:dyDescent="0.3">
      <c r="A8" s="295" t="s">
        <v>606</v>
      </c>
      <c r="B8" s="280"/>
      <c r="C8" s="280"/>
      <c r="D8" s="280"/>
      <c r="E8" s="280"/>
      <c r="F8" s="280"/>
      <c r="G8" s="280"/>
    </row>
    <row r="9" spans="1:7" s="93" customFormat="1" ht="42" customHeight="1" thickBot="1" x14ac:dyDescent="0.25">
      <c r="A9" s="220" t="s">
        <v>16</v>
      </c>
      <c r="B9" s="221" t="s">
        <v>209</v>
      </c>
      <c r="C9" s="221" t="s">
        <v>210</v>
      </c>
      <c r="D9" s="221" t="s">
        <v>211</v>
      </c>
      <c r="E9" s="221" t="s">
        <v>212</v>
      </c>
      <c r="F9" s="221" t="s">
        <v>213</v>
      </c>
      <c r="G9" s="222" t="s">
        <v>53</v>
      </c>
    </row>
    <row r="10" spans="1:7" ht="24" customHeight="1" x14ac:dyDescent="0.2">
      <c r="A10" s="281" t="s">
        <v>18</v>
      </c>
      <c r="B10" s="228" t="s">
        <v>214</v>
      </c>
      <c r="C10" s="192"/>
      <c r="D10" s="192"/>
      <c r="E10" s="192"/>
      <c r="F10" s="192"/>
      <c r="G10" s="282">
        <f>SUM(C10:F10)</f>
        <v>0</v>
      </c>
    </row>
    <row r="11" spans="1:7" ht="24" customHeight="1" x14ac:dyDescent="0.2">
      <c r="A11" s="283" t="s">
        <v>19</v>
      </c>
      <c r="B11" s="229" t="s">
        <v>215</v>
      </c>
      <c r="C11" s="193"/>
      <c r="D11" s="193"/>
      <c r="E11" s="193"/>
      <c r="F11" s="193"/>
      <c r="G11" s="284">
        <f t="shared" ref="G11:G16" si="0">SUM(C11:F11)</f>
        <v>0</v>
      </c>
    </row>
    <row r="12" spans="1:7" ht="24" customHeight="1" x14ac:dyDescent="0.2">
      <c r="A12" s="283" t="s">
        <v>20</v>
      </c>
      <c r="B12" s="229" t="s">
        <v>216</v>
      </c>
      <c r="C12" s="193"/>
      <c r="D12" s="193"/>
      <c r="E12" s="193"/>
      <c r="F12" s="193"/>
      <c r="G12" s="284">
        <f t="shared" si="0"/>
        <v>0</v>
      </c>
    </row>
    <row r="13" spans="1:7" ht="24" customHeight="1" x14ac:dyDescent="0.2">
      <c r="A13" s="283" t="s">
        <v>21</v>
      </c>
      <c r="B13" s="229" t="s">
        <v>217</v>
      </c>
      <c r="C13" s="193"/>
      <c r="D13" s="193"/>
      <c r="E13" s="193"/>
      <c r="F13" s="193"/>
      <c r="G13" s="284">
        <f t="shared" si="0"/>
        <v>0</v>
      </c>
    </row>
    <row r="14" spans="1:7" ht="24" customHeight="1" x14ac:dyDescent="0.2">
      <c r="A14" s="283" t="s">
        <v>22</v>
      </c>
      <c r="B14" s="229" t="s">
        <v>218</v>
      </c>
      <c r="C14" s="193"/>
      <c r="D14" s="193"/>
      <c r="E14" s="193"/>
      <c r="F14" s="193"/>
      <c r="G14" s="284">
        <f t="shared" si="0"/>
        <v>0</v>
      </c>
    </row>
    <row r="15" spans="1:7" ht="24" customHeight="1" thickBot="1" x14ac:dyDescent="0.25">
      <c r="A15" s="285" t="s">
        <v>23</v>
      </c>
      <c r="B15" s="286" t="s">
        <v>219</v>
      </c>
      <c r="C15" s="194">
        <v>1822873</v>
      </c>
      <c r="D15" s="194"/>
      <c r="E15" s="194"/>
      <c r="F15" s="194"/>
      <c r="G15" s="287">
        <f t="shared" si="0"/>
        <v>1822873</v>
      </c>
    </row>
    <row r="16" spans="1:7" s="195" customFormat="1" ht="24" customHeight="1" thickBot="1" x14ac:dyDescent="0.25">
      <c r="A16" s="288" t="s">
        <v>24</v>
      </c>
      <c r="B16" s="289" t="s">
        <v>53</v>
      </c>
      <c r="C16" s="290">
        <f>SUM(C10:C15)</f>
        <v>1822873</v>
      </c>
      <c r="D16" s="290">
        <f>SUM(D10:D15)</f>
        <v>0</v>
      </c>
      <c r="E16" s="290">
        <f>SUM(E10:E15)</f>
        <v>0</v>
      </c>
      <c r="F16" s="290">
        <f>SUM(F10:F15)</f>
        <v>0</v>
      </c>
      <c r="G16" s="291">
        <f t="shared" si="0"/>
        <v>1822873</v>
      </c>
    </row>
    <row r="17" spans="1:7" s="190" customFormat="1" x14ac:dyDescent="0.2">
      <c r="A17" s="240"/>
      <c r="B17" s="240"/>
      <c r="C17" s="240"/>
      <c r="D17" s="240"/>
      <c r="E17" s="240"/>
      <c r="F17" s="240"/>
      <c r="G17" s="240"/>
    </row>
    <row r="18" spans="1:7" s="190" customFormat="1" x14ac:dyDescent="0.2">
      <c r="A18" s="240"/>
      <c r="B18" s="240"/>
      <c r="C18" s="240"/>
      <c r="D18" s="240"/>
      <c r="E18" s="240"/>
      <c r="F18" s="240"/>
      <c r="G18" s="240"/>
    </row>
    <row r="19" spans="1:7" s="190" customFormat="1" x14ac:dyDescent="0.2">
      <c r="A19" s="240"/>
      <c r="B19" s="240"/>
      <c r="C19" s="240"/>
      <c r="D19" s="240"/>
      <c r="E19" s="240"/>
      <c r="F19" s="240"/>
      <c r="G19" s="240"/>
    </row>
    <row r="20" spans="1:7" s="190" customFormat="1" ht="15.75" x14ac:dyDescent="0.25">
      <c r="A20" s="189" t="str">
        <f>+CONCATENATE("Ibrány, ",LEFT(ÖSSZEFÜGGÉSEK!A5,4),". január hó 15. nap")</f>
        <v>Ibrány, 2018. január hó 15. nap</v>
      </c>
      <c r="B20" s="240"/>
      <c r="C20" s="240"/>
      <c r="D20" s="240"/>
      <c r="E20" s="240"/>
      <c r="F20" s="240"/>
      <c r="G20" s="240"/>
    </row>
    <row r="21" spans="1:7" s="190" customFormat="1" x14ac:dyDescent="0.2">
      <c r="A21" s="240"/>
      <c r="B21" s="240"/>
      <c r="C21" s="240"/>
      <c r="D21" s="240"/>
      <c r="E21" s="240"/>
      <c r="F21" s="240"/>
      <c r="G21" s="240"/>
    </row>
    <row r="22" spans="1:7" x14ac:dyDescent="0.2">
      <c r="A22" s="240"/>
      <c r="B22" s="240"/>
      <c r="C22" s="240"/>
      <c r="D22" s="240"/>
      <c r="E22" s="240"/>
      <c r="F22" s="240"/>
      <c r="G22" s="240"/>
    </row>
    <row r="23" spans="1:7" x14ac:dyDescent="0.2">
      <c r="A23" s="240"/>
      <c r="B23" s="240"/>
      <c r="C23" s="190"/>
      <c r="D23" s="190"/>
      <c r="E23" s="190"/>
      <c r="F23" s="190"/>
      <c r="G23" s="240"/>
    </row>
    <row r="24" spans="1:7" ht="13.5" x14ac:dyDescent="0.25">
      <c r="A24" s="240"/>
      <c r="B24" s="240"/>
      <c r="C24" s="292"/>
      <c r="D24" s="293" t="s">
        <v>220</v>
      </c>
      <c r="E24" s="293"/>
      <c r="F24" s="292"/>
      <c r="G24" s="240"/>
    </row>
    <row r="25" spans="1:7" ht="13.5" x14ac:dyDescent="0.25">
      <c r="C25" s="196"/>
      <c r="D25" s="197"/>
      <c r="E25" s="197"/>
      <c r="F25" s="196"/>
    </row>
    <row r="26" spans="1:7" ht="13.5" x14ac:dyDescent="0.25">
      <c r="C26" s="196"/>
      <c r="D26" s="197"/>
      <c r="E26" s="197"/>
      <c r="F26" s="196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4/2018. (II. 20.)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00" zoomScaleSheetLayoutView="100" workbookViewId="0">
      <selection activeCell="F4" sqref="F4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69" t="s">
        <v>15</v>
      </c>
      <c r="B1" s="669"/>
      <c r="C1" s="669"/>
    </row>
    <row r="2" spans="1:3" ht="15.95" customHeight="1" thickBot="1" x14ac:dyDescent="0.3">
      <c r="A2" s="670" t="s">
        <v>152</v>
      </c>
      <c r="B2" s="670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6245112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>
        <f>+'9.1.2. sz. mell ÖNK'!C20</f>
        <v>6245112</v>
      </c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0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/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554</v>
      </c>
      <c r="C26" s="336">
        <f>SUM(C27:C34)</f>
        <v>3354926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712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>
        <f>'9.1.2. sz. mell ÖNK'!C33</f>
        <v>3354926</v>
      </c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713</v>
      </c>
      <c r="B34" s="564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30158256</v>
      </c>
    </row>
    <row r="36" spans="1:3" s="458" customFormat="1" ht="12" customHeight="1" x14ac:dyDescent="0.2">
      <c r="A36" s="15" t="s">
        <v>92</v>
      </c>
      <c r="B36" s="459" t="s">
        <v>276</v>
      </c>
      <c r="C36" s="333">
        <f>'9.3.2. sz. mell GAM'!C9+'9.4.2. sz. mell ILMKS'!C9</f>
        <v>1000000</v>
      </c>
    </row>
    <row r="37" spans="1:3" s="458" customFormat="1" ht="12" customHeight="1" x14ac:dyDescent="0.2">
      <c r="A37" s="14" t="s">
        <v>93</v>
      </c>
      <c r="B37" s="460" t="s">
        <v>277</v>
      </c>
      <c r="C37" s="333">
        <f>'9.3.2. sz. mell GAM'!C10+'9.4.2. sz. mell ILMKS'!C10</f>
        <v>22746658</v>
      </c>
    </row>
    <row r="38" spans="1:3" s="458" customFormat="1" ht="12" customHeight="1" x14ac:dyDescent="0.2">
      <c r="A38" s="14" t="s">
        <v>94</v>
      </c>
      <c r="B38" s="460" t="s">
        <v>278</v>
      </c>
      <c r="C38" s="333">
        <f>'9.3.2. sz. mell GAM'!C11+'9.4.2. sz. mell ILMKS'!C11</f>
        <v>0</v>
      </c>
    </row>
    <row r="39" spans="1:3" s="458" customFormat="1" ht="12" customHeight="1" x14ac:dyDescent="0.2">
      <c r="A39" s="14" t="s">
        <v>172</v>
      </c>
      <c r="B39" s="460" t="s">
        <v>279</v>
      </c>
      <c r="C39" s="333">
        <f>'9.3.2. sz. mell GAM'!C12+'9.4.2. sz. mell ILMKS'!C12</f>
        <v>0</v>
      </c>
    </row>
    <row r="40" spans="1:3" s="458" customFormat="1" ht="12" customHeight="1" x14ac:dyDescent="0.2">
      <c r="A40" s="14" t="s">
        <v>173</v>
      </c>
      <c r="B40" s="460" t="s">
        <v>280</v>
      </c>
      <c r="C40" s="333">
        <f>'9.3.2. sz. mell GAM'!C13+'9.4.2. sz. mell ILMKS'!C13</f>
        <v>0</v>
      </c>
    </row>
    <row r="41" spans="1:3" s="458" customFormat="1" ht="12" customHeight="1" x14ac:dyDescent="0.2">
      <c r="A41" s="14" t="s">
        <v>174</v>
      </c>
      <c r="B41" s="460" t="s">
        <v>281</v>
      </c>
      <c r="C41" s="333">
        <f>'9.3.2. sz. mell GAM'!C14+'9.4.2. sz. mell ILMKS'!C14</f>
        <v>6411598</v>
      </c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6" t="s">
        <v>479</v>
      </c>
      <c r="B63" s="21" t="s">
        <v>306</v>
      </c>
      <c r="C63" s="336">
        <f>+C5+C12+C19+C26+C35+C47+C53+C58</f>
        <v>39758294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30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/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39758294</v>
      </c>
    </row>
    <row r="89" spans="1:3" s="458" customFormat="1" ht="34.5" customHeight="1" x14ac:dyDescent="0.2">
      <c r="A89" s="5"/>
      <c r="B89" s="6"/>
      <c r="C89" s="337"/>
    </row>
    <row r="90" spans="1:3" ht="16.5" customHeight="1" x14ac:dyDescent="0.25">
      <c r="A90" s="669" t="s">
        <v>47</v>
      </c>
      <c r="B90" s="669"/>
      <c r="C90" s="669"/>
    </row>
    <row r="91" spans="1:3" s="468" customFormat="1" ht="16.5" customHeight="1" thickBot="1" x14ac:dyDescent="0.3">
      <c r="A91" s="671" t="s">
        <v>153</v>
      </c>
      <c r="B91" s="671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39870232</v>
      </c>
    </row>
    <row r="95" spans="1:3" ht="12" customHeight="1" x14ac:dyDescent="0.25">
      <c r="A95" s="17" t="s">
        <v>99</v>
      </c>
      <c r="B95" s="10" t="s">
        <v>49</v>
      </c>
      <c r="C95" s="331">
        <f>'9.1.2. sz. mell ÖNK'!C95+'9.3.2. sz. mell GAM'!C46+'9.4.2. sz. mell ILMKS'!C46</f>
        <v>13994300</v>
      </c>
    </row>
    <row r="96" spans="1:3" ht="12" customHeight="1" x14ac:dyDescent="0.25">
      <c r="A96" s="14" t="s">
        <v>100</v>
      </c>
      <c r="B96" s="8" t="s">
        <v>180</v>
      </c>
      <c r="C96" s="332">
        <f>'9.1.2. sz. mell ÖNK'!C96+'9.3.2. sz. mell GAM'!C47+'9.4.2. sz. mell ILMKS'!C47</f>
        <v>2870129</v>
      </c>
    </row>
    <row r="97" spans="1:3" ht="12" customHeight="1" x14ac:dyDescent="0.25">
      <c r="A97" s="14" t="s">
        <v>101</v>
      </c>
      <c r="B97" s="8" t="s">
        <v>141</v>
      </c>
      <c r="C97" s="332">
        <f>'9.1.2. sz. mell ÖNK'!C97+'9.3.2. sz. mell GAM'!C48+'9.4.2. sz. mell ILMKS'!C48</f>
        <v>23005803</v>
      </c>
    </row>
    <row r="98" spans="1:3" ht="12" customHeight="1" x14ac:dyDescent="0.25">
      <c r="A98" s="14" t="s">
        <v>102</v>
      </c>
      <c r="B98" s="11" t="s">
        <v>181</v>
      </c>
      <c r="C98" s="332">
        <f>'9.1.2. sz. mell ÖNK'!C98+'9.3.2. sz. mell GAM'!C49+'9.4.2. sz. mell ILMKS'!C49</f>
        <v>0</v>
      </c>
    </row>
    <row r="99" spans="1:3" ht="12" customHeight="1" x14ac:dyDescent="0.25">
      <c r="A99" s="14" t="s">
        <v>113</v>
      </c>
      <c r="B99" s="19" t="s">
        <v>182</v>
      </c>
      <c r="C99" s="333">
        <f>'9.1.2. sz. mell ÖNK'!C99+'9.3.2. sz. mell GAM'!C50+'9.4.2. sz. mell ILMKS'!C50</f>
        <v>0</v>
      </c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>
        <f>'9.1.2. sz. mell ÖNK'!C111</f>
        <v>0</v>
      </c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4" t="s">
        <v>450</v>
      </c>
      <c r="C114" s="338"/>
    </row>
    <row r="115" spans="1:3" ht="12" customHeight="1" thickBot="1" x14ac:dyDescent="0.3">
      <c r="A115" s="531" t="s">
        <v>19</v>
      </c>
      <c r="B115" s="532" t="s">
        <v>362</v>
      </c>
      <c r="C115" s="533">
        <f>+C116+C118+C120</f>
        <v>0</v>
      </c>
    </row>
    <row r="116" spans="1:3" ht="12" customHeight="1" x14ac:dyDescent="0.25">
      <c r="A116" s="15" t="s">
        <v>105</v>
      </c>
      <c r="B116" s="8" t="s">
        <v>225</v>
      </c>
      <c r="C116" s="333"/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39870232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5"/>
    </row>
    <row r="153" spans="1:9" ht="12" customHeight="1" thickBot="1" x14ac:dyDescent="0.3">
      <c r="A153" s="20" t="s">
        <v>26</v>
      </c>
      <c r="B153" s="150" t="s">
        <v>474</v>
      </c>
      <c r="C153" s="535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39870232</v>
      </c>
    </row>
    <row r="156" spans="1:9" ht="7.5" customHeight="1" x14ac:dyDescent="0.25"/>
    <row r="157" spans="1:9" x14ac:dyDescent="0.25">
      <c r="A157" s="672" t="s">
        <v>375</v>
      </c>
      <c r="B157" s="672"/>
      <c r="C157" s="672"/>
    </row>
    <row r="158" spans="1:9" ht="15" customHeight="1" thickBot="1" x14ac:dyDescent="0.3">
      <c r="A158" s="670" t="s">
        <v>154</v>
      </c>
      <c r="B158" s="670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-111938</v>
      </c>
      <c r="D159" s="472"/>
    </row>
    <row r="160" spans="1:9" ht="27.75" customHeight="1" thickBot="1" x14ac:dyDescent="0.3">
      <c r="A160" s="20" t="s">
        <v>19</v>
      </c>
      <c r="B160" s="30" t="s">
        <v>575</v>
      </c>
      <c r="C160" s="330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dőlt"&amp;11 1.3. melléklet a 4/2018. (II. 20.)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tabSelected="1" view="pageLayout" zoomScaleNormal="120" zoomScaleSheetLayoutView="100" workbookViewId="0">
      <selection activeCell="D145" sqref="D145"/>
    </sheetView>
  </sheetViews>
  <sheetFormatPr defaultRowHeight="15.75" x14ac:dyDescent="0.25"/>
  <cols>
    <col min="1" max="1" width="9" style="424" customWidth="1"/>
    <col min="2" max="2" width="75.83203125" style="424" customWidth="1"/>
    <col min="3" max="3" width="15.5" style="425" customWidth="1"/>
    <col min="4" max="5" width="15.5" style="424" customWidth="1"/>
    <col min="6" max="6" width="9" style="43" customWidth="1"/>
    <col min="7" max="16384" width="9.33203125" style="43"/>
  </cols>
  <sheetData>
    <row r="1" spans="1:5" ht="15.95" customHeight="1" x14ac:dyDescent="0.25">
      <c r="A1" s="669" t="s">
        <v>15</v>
      </c>
      <c r="B1" s="669"/>
      <c r="C1" s="669"/>
      <c r="D1" s="669"/>
      <c r="E1" s="669"/>
    </row>
    <row r="2" spans="1:5" ht="15.95" customHeight="1" thickBot="1" x14ac:dyDescent="0.3">
      <c r="A2" s="670" t="s">
        <v>152</v>
      </c>
      <c r="B2" s="670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+CONCATENATE(LEFT(ÖSSZEFÜGGÉSEK!A5,4)-2,". évi tény")</f>
        <v>2016. évi tény</v>
      </c>
      <c r="D3" s="447" t="str">
        <f>+CONCATENATE(LEFT(ÖSSZEFÜGGÉSEK!A5,4)-1,". évi várható")</f>
        <v>2017. évi várható</v>
      </c>
      <c r="E3" s="186" t="str">
        <f>+'1.1.sz.mell.'!C3</f>
        <v>2018. évi előirányzat</v>
      </c>
    </row>
    <row r="4" spans="1:5" s="45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1" customFormat="1" ht="12" customHeight="1" thickBot="1" x14ac:dyDescent="0.25">
      <c r="A5" s="20" t="s">
        <v>18</v>
      </c>
      <c r="B5" s="21" t="s">
        <v>251</v>
      </c>
      <c r="C5" s="439">
        <v>520552</v>
      </c>
      <c r="D5" s="439">
        <v>518770</v>
      </c>
      <c r="E5" s="296">
        <v>543880</v>
      </c>
    </row>
    <row r="6" spans="1:5" s="1" customFormat="1" ht="12" customHeight="1" x14ac:dyDescent="0.2">
      <c r="A6" s="15" t="s">
        <v>99</v>
      </c>
      <c r="B6" s="459" t="s">
        <v>252</v>
      </c>
      <c r="C6" s="441"/>
      <c r="D6" s="441"/>
      <c r="E6" s="298"/>
    </row>
    <row r="7" spans="1:5" s="1" customFormat="1" ht="12" customHeight="1" x14ac:dyDescent="0.2">
      <c r="A7" s="14" t="s">
        <v>100</v>
      </c>
      <c r="B7" s="460" t="s">
        <v>253</v>
      </c>
      <c r="C7" s="440"/>
      <c r="D7" s="440"/>
      <c r="E7" s="297"/>
    </row>
    <row r="8" spans="1:5" s="1" customFormat="1" ht="12" customHeight="1" x14ac:dyDescent="0.2">
      <c r="A8" s="14" t="s">
        <v>101</v>
      </c>
      <c r="B8" s="460" t="s">
        <v>254</v>
      </c>
      <c r="C8" s="440"/>
      <c r="D8" s="440"/>
      <c r="E8" s="297"/>
    </row>
    <row r="9" spans="1:5" s="1" customFormat="1" ht="12" customHeight="1" x14ac:dyDescent="0.2">
      <c r="A9" s="14" t="s">
        <v>102</v>
      </c>
      <c r="B9" s="460" t="s">
        <v>255</v>
      </c>
      <c r="C9" s="440"/>
      <c r="D9" s="440"/>
      <c r="E9" s="297"/>
    </row>
    <row r="10" spans="1:5" s="1" customFormat="1" ht="12" customHeight="1" x14ac:dyDescent="0.2">
      <c r="A10" s="14" t="s">
        <v>148</v>
      </c>
      <c r="B10" s="326" t="s">
        <v>435</v>
      </c>
      <c r="C10" s="440"/>
      <c r="D10" s="440"/>
      <c r="E10" s="297"/>
    </row>
    <row r="11" spans="1:5" s="1" customFormat="1" ht="12" customHeight="1" thickBot="1" x14ac:dyDescent="0.25">
      <c r="A11" s="16" t="s">
        <v>103</v>
      </c>
      <c r="B11" s="327" t="s">
        <v>436</v>
      </c>
      <c r="C11" s="440"/>
      <c r="D11" s="440"/>
      <c r="E11" s="297"/>
    </row>
    <row r="12" spans="1:5" s="1" customFormat="1" ht="12" customHeight="1" thickBot="1" x14ac:dyDescent="0.25">
      <c r="A12" s="20" t="s">
        <v>19</v>
      </c>
      <c r="B12" s="325" t="s">
        <v>256</v>
      </c>
      <c r="C12" s="439">
        <v>401092</v>
      </c>
      <c r="D12" s="439">
        <v>462234</v>
      </c>
      <c r="E12" s="296">
        <v>288004</v>
      </c>
    </row>
    <row r="13" spans="1:5" s="1" customFormat="1" ht="12" customHeight="1" x14ac:dyDescent="0.2">
      <c r="A13" s="15" t="s">
        <v>105</v>
      </c>
      <c r="B13" s="459" t="s">
        <v>257</v>
      </c>
      <c r="C13" s="441"/>
      <c r="D13" s="441"/>
      <c r="E13" s="298"/>
    </row>
    <row r="14" spans="1:5" s="1" customFormat="1" ht="12" customHeight="1" x14ac:dyDescent="0.2">
      <c r="A14" s="14" t="s">
        <v>106</v>
      </c>
      <c r="B14" s="460" t="s">
        <v>258</v>
      </c>
      <c r="C14" s="440"/>
      <c r="D14" s="440"/>
      <c r="E14" s="297"/>
    </row>
    <row r="15" spans="1:5" s="1" customFormat="1" ht="12" customHeight="1" x14ac:dyDescent="0.2">
      <c r="A15" s="14" t="s">
        <v>107</v>
      </c>
      <c r="B15" s="460" t="s">
        <v>425</v>
      </c>
      <c r="C15" s="440"/>
      <c r="D15" s="440"/>
      <c r="E15" s="297"/>
    </row>
    <row r="16" spans="1:5" s="1" customFormat="1" ht="12" customHeight="1" x14ac:dyDescent="0.2">
      <c r="A16" s="14" t="s">
        <v>108</v>
      </c>
      <c r="B16" s="460" t="s">
        <v>426</v>
      </c>
      <c r="C16" s="440"/>
      <c r="D16" s="440"/>
      <c r="E16" s="297"/>
    </row>
    <row r="17" spans="1:5" s="1" customFormat="1" ht="12" customHeight="1" x14ac:dyDescent="0.2">
      <c r="A17" s="14" t="s">
        <v>109</v>
      </c>
      <c r="B17" s="460" t="s">
        <v>259</v>
      </c>
      <c r="C17" s="440"/>
      <c r="D17" s="440"/>
      <c r="E17" s="297"/>
    </row>
    <row r="18" spans="1:5" s="1" customFormat="1" ht="12" customHeight="1" thickBot="1" x14ac:dyDescent="0.25">
      <c r="A18" s="16" t="s">
        <v>118</v>
      </c>
      <c r="B18" s="327" t="s">
        <v>260</v>
      </c>
      <c r="C18" s="442"/>
      <c r="D18" s="442"/>
      <c r="E18" s="299"/>
    </row>
    <row r="19" spans="1:5" s="1" customFormat="1" ht="12" customHeight="1" thickBot="1" x14ac:dyDescent="0.25">
      <c r="A19" s="20" t="s">
        <v>20</v>
      </c>
      <c r="B19" s="21" t="s">
        <v>261</v>
      </c>
      <c r="C19" s="439">
        <v>54063</v>
      </c>
      <c r="D19" s="439">
        <v>440201</v>
      </c>
      <c r="E19" s="296">
        <v>319681</v>
      </c>
    </row>
    <row r="20" spans="1:5" s="1" customFormat="1" ht="12" customHeight="1" x14ac:dyDescent="0.2">
      <c r="A20" s="15" t="s">
        <v>88</v>
      </c>
      <c r="B20" s="459" t="s">
        <v>262</v>
      </c>
      <c r="C20" s="441"/>
      <c r="D20" s="441"/>
      <c r="E20" s="298"/>
    </row>
    <row r="21" spans="1:5" s="1" customFormat="1" ht="12" customHeight="1" x14ac:dyDescent="0.2">
      <c r="A21" s="14" t="s">
        <v>89</v>
      </c>
      <c r="B21" s="460" t="s">
        <v>263</v>
      </c>
      <c r="C21" s="440"/>
      <c r="D21" s="440"/>
      <c r="E21" s="297"/>
    </row>
    <row r="22" spans="1:5" s="1" customFormat="1" ht="12" customHeight="1" x14ac:dyDescent="0.2">
      <c r="A22" s="14" t="s">
        <v>90</v>
      </c>
      <c r="B22" s="460" t="s">
        <v>427</v>
      </c>
      <c r="C22" s="440"/>
      <c r="D22" s="440"/>
      <c r="E22" s="297"/>
    </row>
    <row r="23" spans="1:5" s="1" customFormat="1" ht="12" customHeight="1" x14ac:dyDescent="0.2">
      <c r="A23" s="14" t="s">
        <v>91</v>
      </c>
      <c r="B23" s="460" t="s">
        <v>428</v>
      </c>
      <c r="C23" s="440"/>
      <c r="D23" s="440"/>
      <c r="E23" s="297"/>
    </row>
    <row r="24" spans="1:5" s="1" customFormat="1" ht="12" customHeight="1" x14ac:dyDescent="0.2">
      <c r="A24" s="14" t="s">
        <v>168</v>
      </c>
      <c r="B24" s="460" t="s">
        <v>264</v>
      </c>
      <c r="C24" s="440"/>
      <c r="D24" s="440"/>
      <c r="E24" s="297"/>
    </row>
    <row r="25" spans="1:5" s="1" customFormat="1" ht="12" customHeight="1" thickBot="1" x14ac:dyDescent="0.25">
      <c r="A25" s="16" t="s">
        <v>169</v>
      </c>
      <c r="B25" s="461" t="s">
        <v>265</v>
      </c>
      <c r="C25" s="442"/>
      <c r="D25" s="442"/>
      <c r="E25" s="299"/>
    </row>
    <row r="26" spans="1:5" s="1" customFormat="1" ht="12" customHeight="1" thickBot="1" x14ac:dyDescent="0.25">
      <c r="A26" s="20" t="s">
        <v>170</v>
      </c>
      <c r="B26" s="21" t="s">
        <v>266</v>
      </c>
      <c r="C26" s="446">
        <v>103838</v>
      </c>
      <c r="D26" s="446">
        <v>110488</v>
      </c>
      <c r="E26" s="490">
        <v>108475</v>
      </c>
    </row>
    <row r="27" spans="1:5" s="1" customFormat="1" ht="12" customHeight="1" x14ac:dyDescent="0.2">
      <c r="A27" s="15" t="s">
        <v>267</v>
      </c>
      <c r="B27" s="459" t="s">
        <v>558</v>
      </c>
      <c r="C27" s="441"/>
      <c r="D27" s="441"/>
      <c r="E27" s="331"/>
    </row>
    <row r="28" spans="1:5" s="1" customFormat="1" ht="12" customHeight="1" x14ac:dyDescent="0.2">
      <c r="A28" s="14" t="s">
        <v>268</v>
      </c>
      <c r="B28" s="460" t="s">
        <v>559</v>
      </c>
      <c r="C28" s="440"/>
      <c r="D28" s="440"/>
      <c r="E28" s="332"/>
    </row>
    <row r="29" spans="1:5" s="1" customFormat="1" ht="12" customHeight="1" x14ac:dyDescent="0.2">
      <c r="A29" s="14" t="s">
        <v>269</v>
      </c>
      <c r="B29" s="460" t="s">
        <v>560</v>
      </c>
      <c r="C29" s="440"/>
      <c r="D29" s="440"/>
      <c r="E29" s="332"/>
    </row>
    <row r="30" spans="1:5" s="1" customFormat="1" ht="12" customHeight="1" x14ac:dyDescent="0.2">
      <c r="A30" s="14" t="s">
        <v>270</v>
      </c>
      <c r="B30" s="460" t="s">
        <v>561</v>
      </c>
      <c r="C30" s="440"/>
      <c r="D30" s="440"/>
      <c r="E30" s="332"/>
    </row>
    <row r="31" spans="1:5" s="1" customFormat="1" ht="12" customHeight="1" x14ac:dyDescent="0.2">
      <c r="A31" s="14" t="s">
        <v>555</v>
      </c>
      <c r="B31" s="460" t="s">
        <v>271</v>
      </c>
      <c r="C31" s="440"/>
      <c r="D31" s="440"/>
      <c r="E31" s="332"/>
    </row>
    <row r="32" spans="1:5" s="1" customFormat="1" ht="12" customHeight="1" x14ac:dyDescent="0.2">
      <c r="A32" s="14" t="s">
        <v>556</v>
      </c>
      <c r="B32" s="460" t="s">
        <v>272</v>
      </c>
      <c r="C32" s="440"/>
      <c r="D32" s="440"/>
      <c r="E32" s="332"/>
    </row>
    <row r="33" spans="1:5" s="1" customFormat="1" ht="12" customHeight="1" thickBot="1" x14ac:dyDescent="0.25">
      <c r="A33" s="16" t="s">
        <v>557</v>
      </c>
      <c r="B33" s="461" t="s">
        <v>273</v>
      </c>
      <c r="C33" s="442"/>
      <c r="D33" s="442"/>
      <c r="E33" s="338"/>
    </row>
    <row r="34" spans="1:5" s="1" customFormat="1" ht="12" customHeight="1" thickBot="1" x14ac:dyDescent="0.25">
      <c r="A34" s="20" t="s">
        <v>22</v>
      </c>
      <c r="B34" s="21" t="s">
        <v>437</v>
      </c>
      <c r="C34" s="439">
        <v>133255</v>
      </c>
      <c r="D34" s="439">
        <v>101514</v>
      </c>
      <c r="E34" s="296">
        <v>93585</v>
      </c>
    </row>
    <row r="35" spans="1:5" s="1" customFormat="1" ht="12" customHeight="1" x14ac:dyDescent="0.2">
      <c r="A35" s="15" t="s">
        <v>92</v>
      </c>
      <c r="B35" s="459" t="s">
        <v>276</v>
      </c>
      <c r="C35" s="441"/>
      <c r="D35" s="441"/>
      <c r="E35" s="298"/>
    </row>
    <row r="36" spans="1:5" s="1" customFormat="1" ht="12" customHeight="1" x14ac:dyDescent="0.2">
      <c r="A36" s="14" t="s">
        <v>93</v>
      </c>
      <c r="B36" s="460" t="s">
        <v>277</v>
      </c>
      <c r="C36" s="440"/>
      <c r="D36" s="440"/>
      <c r="E36" s="297"/>
    </row>
    <row r="37" spans="1:5" s="1" customFormat="1" ht="12" customHeight="1" x14ac:dyDescent="0.2">
      <c r="A37" s="14" t="s">
        <v>94</v>
      </c>
      <c r="B37" s="460" t="s">
        <v>278</v>
      </c>
      <c r="C37" s="440"/>
      <c r="D37" s="440"/>
      <c r="E37" s="297"/>
    </row>
    <row r="38" spans="1:5" s="1" customFormat="1" ht="12" customHeight="1" x14ac:dyDescent="0.2">
      <c r="A38" s="14" t="s">
        <v>172</v>
      </c>
      <c r="B38" s="460" t="s">
        <v>279</v>
      </c>
      <c r="C38" s="440"/>
      <c r="D38" s="440"/>
      <c r="E38" s="297"/>
    </row>
    <row r="39" spans="1:5" s="1" customFormat="1" ht="12" customHeight="1" x14ac:dyDescent="0.2">
      <c r="A39" s="14" t="s">
        <v>173</v>
      </c>
      <c r="B39" s="460" t="s">
        <v>280</v>
      </c>
      <c r="C39" s="440"/>
      <c r="D39" s="440"/>
      <c r="E39" s="297"/>
    </row>
    <row r="40" spans="1:5" s="1" customFormat="1" ht="12" customHeight="1" x14ac:dyDescent="0.2">
      <c r="A40" s="14" t="s">
        <v>174</v>
      </c>
      <c r="B40" s="460" t="s">
        <v>281</v>
      </c>
      <c r="C40" s="440"/>
      <c r="D40" s="440"/>
      <c r="E40" s="297"/>
    </row>
    <row r="41" spans="1:5" s="1" customFormat="1" ht="12" customHeight="1" x14ac:dyDescent="0.2">
      <c r="A41" s="14" t="s">
        <v>175</v>
      </c>
      <c r="B41" s="460" t="s">
        <v>282</v>
      </c>
      <c r="C41" s="440"/>
      <c r="D41" s="440"/>
      <c r="E41" s="297"/>
    </row>
    <row r="42" spans="1:5" s="1" customFormat="1" ht="12" customHeight="1" x14ac:dyDescent="0.2">
      <c r="A42" s="14" t="s">
        <v>176</v>
      </c>
      <c r="B42" s="460" t="s">
        <v>562</v>
      </c>
      <c r="C42" s="440"/>
      <c r="D42" s="440"/>
      <c r="E42" s="297"/>
    </row>
    <row r="43" spans="1:5" s="1" customFormat="1" ht="12" customHeight="1" x14ac:dyDescent="0.2">
      <c r="A43" s="14" t="s">
        <v>274</v>
      </c>
      <c r="B43" s="460" t="s">
        <v>284</v>
      </c>
      <c r="C43" s="443"/>
      <c r="D43" s="443"/>
      <c r="E43" s="300"/>
    </row>
    <row r="44" spans="1:5" s="1" customFormat="1" ht="12" customHeight="1" x14ac:dyDescent="0.2">
      <c r="A44" s="16" t="s">
        <v>275</v>
      </c>
      <c r="B44" s="461" t="s">
        <v>439</v>
      </c>
      <c r="C44" s="444"/>
      <c r="D44" s="444"/>
      <c r="E44" s="301"/>
    </row>
    <row r="45" spans="1:5" s="1" customFormat="1" ht="12" customHeight="1" thickBot="1" x14ac:dyDescent="0.25">
      <c r="A45" s="16" t="s">
        <v>438</v>
      </c>
      <c r="B45" s="327" t="s">
        <v>285</v>
      </c>
      <c r="C45" s="444"/>
      <c r="D45" s="444"/>
      <c r="E45" s="301"/>
    </row>
    <row r="46" spans="1:5" s="1" customFormat="1" ht="12" customHeight="1" thickBot="1" x14ac:dyDescent="0.25">
      <c r="A46" s="20" t="s">
        <v>23</v>
      </c>
      <c r="B46" s="21" t="s">
        <v>286</v>
      </c>
      <c r="C46" s="439">
        <v>29622</v>
      </c>
      <c r="D46" s="439">
        <v>10409</v>
      </c>
      <c r="E46" s="296">
        <v>70643</v>
      </c>
    </row>
    <row r="47" spans="1:5" s="1" customFormat="1" ht="12" customHeight="1" x14ac:dyDescent="0.2">
      <c r="A47" s="15" t="s">
        <v>95</v>
      </c>
      <c r="B47" s="459" t="s">
        <v>290</v>
      </c>
      <c r="C47" s="506"/>
      <c r="D47" s="506"/>
      <c r="E47" s="323"/>
    </row>
    <row r="48" spans="1:5" s="1" customFormat="1" ht="12" customHeight="1" x14ac:dyDescent="0.2">
      <c r="A48" s="14" t="s">
        <v>96</v>
      </c>
      <c r="B48" s="460" t="s">
        <v>291</v>
      </c>
      <c r="C48" s="443"/>
      <c r="D48" s="443"/>
      <c r="E48" s="300"/>
    </row>
    <row r="49" spans="1:5" s="1" customFormat="1" ht="12" customHeight="1" x14ac:dyDescent="0.2">
      <c r="A49" s="14" t="s">
        <v>287</v>
      </c>
      <c r="B49" s="460" t="s">
        <v>292</v>
      </c>
      <c r="C49" s="443"/>
      <c r="D49" s="443"/>
      <c r="E49" s="300"/>
    </row>
    <row r="50" spans="1:5" s="1" customFormat="1" ht="12" customHeight="1" x14ac:dyDescent="0.2">
      <c r="A50" s="14" t="s">
        <v>288</v>
      </c>
      <c r="B50" s="460" t="s">
        <v>293</v>
      </c>
      <c r="C50" s="443"/>
      <c r="D50" s="443"/>
      <c r="E50" s="300"/>
    </row>
    <row r="51" spans="1:5" s="1" customFormat="1" ht="12" customHeight="1" thickBot="1" x14ac:dyDescent="0.25">
      <c r="A51" s="16" t="s">
        <v>289</v>
      </c>
      <c r="B51" s="327" t="s">
        <v>294</v>
      </c>
      <c r="C51" s="444"/>
      <c r="D51" s="444"/>
      <c r="E51" s="301"/>
    </row>
    <row r="52" spans="1:5" s="1" customFormat="1" ht="12" customHeight="1" thickBot="1" x14ac:dyDescent="0.25">
      <c r="A52" s="20" t="s">
        <v>177</v>
      </c>
      <c r="B52" s="21" t="s">
        <v>295</v>
      </c>
      <c r="C52" s="439">
        <v>0</v>
      </c>
      <c r="D52" s="439"/>
      <c r="E52" s="296">
        <f>SUM(E53:E55)</f>
        <v>0</v>
      </c>
    </row>
    <row r="53" spans="1:5" s="1" customFormat="1" ht="12" customHeight="1" x14ac:dyDescent="0.2">
      <c r="A53" s="15" t="s">
        <v>97</v>
      </c>
      <c r="B53" s="459" t="s">
        <v>296</v>
      </c>
      <c r="C53" s="441"/>
      <c r="D53" s="441"/>
      <c r="E53" s="298"/>
    </row>
    <row r="54" spans="1:5" s="1" customFormat="1" ht="12" customHeight="1" x14ac:dyDescent="0.2">
      <c r="A54" s="14" t="s">
        <v>98</v>
      </c>
      <c r="B54" s="460" t="s">
        <v>429</v>
      </c>
      <c r="C54" s="440"/>
      <c r="D54" s="440"/>
      <c r="E54" s="297"/>
    </row>
    <row r="55" spans="1:5" s="1" customFormat="1" ht="12" customHeight="1" x14ac:dyDescent="0.2">
      <c r="A55" s="14" t="s">
        <v>299</v>
      </c>
      <c r="B55" s="460" t="s">
        <v>297</v>
      </c>
      <c r="C55" s="440"/>
      <c r="D55" s="440"/>
      <c r="E55" s="297"/>
    </row>
    <row r="56" spans="1:5" s="1" customFormat="1" ht="12" customHeight="1" thickBot="1" x14ac:dyDescent="0.25">
      <c r="A56" s="16" t="s">
        <v>300</v>
      </c>
      <c r="B56" s="327" t="s">
        <v>298</v>
      </c>
      <c r="C56" s="442"/>
      <c r="D56" s="442"/>
      <c r="E56" s="299"/>
    </row>
    <row r="57" spans="1:5" s="1" customFormat="1" ht="12" customHeight="1" thickBot="1" x14ac:dyDescent="0.25">
      <c r="A57" s="20" t="s">
        <v>25</v>
      </c>
      <c r="B57" s="325" t="s">
        <v>301</v>
      </c>
      <c r="C57" s="439">
        <v>3031</v>
      </c>
      <c r="D57" s="439">
        <v>175</v>
      </c>
      <c r="E57" s="296">
        <v>1810</v>
      </c>
    </row>
    <row r="58" spans="1:5" s="1" customFormat="1" ht="12" customHeight="1" x14ac:dyDescent="0.2">
      <c r="A58" s="15" t="s">
        <v>178</v>
      </c>
      <c r="B58" s="459" t="s">
        <v>303</v>
      </c>
      <c r="C58" s="443"/>
      <c r="D58" s="443"/>
      <c r="E58" s="300"/>
    </row>
    <row r="59" spans="1:5" s="1" customFormat="1" ht="12" customHeight="1" x14ac:dyDescent="0.2">
      <c r="A59" s="14" t="s">
        <v>179</v>
      </c>
      <c r="B59" s="460" t="s">
        <v>430</v>
      </c>
      <c r="C59" s="443"/>
      <c r="D59" s="443"/>
      <c r="E59" s="300"/>
    </row>
    <row r="60" spans="1:5" s="1" customFormat="1" ht="12" customHeight="1" x14ac:dyDescent="0.2">
      <c r="A60" s="14" t="s">
        <v>227</v>
      </c>
      <c r="B60" s="460" t="s">
        <v>304</v>
      </c>
      <c r="C60" s="443"/>
      <c r="D60" s="443"/>
      <c r="E60" s="300"/>
    </row>
    <row r="61" spans="1:5" s="1" customFormat="1" ht="12" customHeight="1" thickBot="1" x14ac:dyDescent="0.25">
      <c r="A61" s="16" t="s">
        <v>302</v>
      </c>
      <c r="B61" s="327" t="s">
        <v>305</v>
      </c>
      <c r="C61" s="443"/>
      <c r="D61" s="443"/>
      <c r="E61" s="300"/>
    </row>
    <row r="62" spans="1:5" s="1" customFormat="1" ht="12" customHeight="1" thickBot="1" x14ac:dyDescent="0.25">
      <c r="A62" s="536" t="s">
        <v>479</v>
      </c>
      <c r="B62" s="21" t="s">
        <v>306</v>
      </c>
      <c r="C62" s="446">
        <f>+C5+C12+C19+C26+C34+C46+C52+C57</f>
        <v>1245453</v>
      </c>
      <c r="D62" s="446">
        <f>+D5+D12+D19+D26+D34+D46+D52+D57</f>
        <v>1643791</v>
      </c>
      <c r="E62" s="490">
        <f>+E5+E12+E19+E26+E34+E46+E52+E57</f>
        <v>1426078</v>
      </c>
    </row>
    <row r="63" spans="1:5" s="1" customFormat="1" ht="12" customHeight="1" thickBot="1" x14ac:dyDescent="0.25">
      <c r="A63" s="507" t="s">
        <v>307</v>
      </c>
      <c r="B63" s="325" t="s">
        <v>546</v>
      </c>
      <c r="C63" s="439">
        <f>SUM(C64:C66)</f>
        <v>0</v>
      </c>
      <c r="D63" s="439">
        <f>SUM(D64:D66)</f>
        <v>9998</v>
      </c>
      <c r="E63" s="296">
        <f>SUM(E64:E66)</f>
        <v>16400</v>
      </c>
    </row>
    <row r="64" spans="1:5" s="1" customFormat="1" ht="12" customHeight="1" x14ac:dyDescent="0.2">
      <c r="A64" s="15" t="s">
        <v>339</v>
      </c>
      <c r="B64" s="459" t="s">
        <v>309</v>
      </c>
      <c r="C64" s="443"/>
      <c r="D64" s="443">
        <v>9998</v>
      </c>
      <c r="E64" s="300">
        <v>16400</v>
      </c>
    </row>
    <row r="65" spans="1:7" s="1" customFormat="1" ht="12" customHeight="1" x14ac:dyDescent="0.2">
      <c r="A65" s="14" t="s">
        <v>348</v>
      </c>
      <c r="B65" s="460" t="s">
        <v>310</v>
      </c>
      <c r="C65" s="443"/>
      <c r="D65" s="443"/>
      <c r="E65" s="300"/>
    </row>
    <row r="66" spans="1:7" s="1" customFormat="1" ht="12" customHeight="1" thickBot="1" x14ac:dyDescent="0.25">
      <c r="A66" s="16" t="s">
        <v>349</v>
      </c>
      <c r="B66" s="530" t="s">
        <v>464</v>
      </c>
      <c r="C66" s="443"/>
      <c r="D66" s="443"/>
      <c r="E66" s="300"/>
    </row>
    <row r="67" spans="1:7" s="1" customFormat="1" ht="12" customHeight="1" thickBot="1" x14ac:dyDescent="0.25">
      <c r="A67" s="507" t="s">
        <v>312</v>
      </c>
      <c r="B67" s="325" t="s">
        <v>313</v>
      </c>
      <c r="C67" s="439">
        <f>SUM(C68:C71)</f>
        <v>0</v>
      </c>
      <c r="D67" s="439">
        <f>SUM(D68:D71)</f>
        <v>0</v>
      </c>
      <c r="E67" s="296">
        <f>SUM(E68:E71)</f>
        <v>0</v>
      </c>
    </row>
    <row r="68" spans="1:7" s="1" customFormat="1" ht="12" customHeight="1" x14ac:dyDescent="0.2">
      <c r="A68" s="15" t="s">
        <v>149</v>
      </c>
      <c r="B68" s="459" t="s">
        <v>314</v>
      </c>
      <c r="C68" s="443"/>
      <c r="D68" s="443"/>
      <c r="E68" s="300"/>
    </row>
    <row r="69" spans="1:7" s="1" customFormat="1" ht="17.25" customHeight="1" x14ac:dyDescent="0.25">
      <c r="A69" s="14" t="s">
        <v>150</v>
      </c>
      <c r="B69" s="460" t="s">
        <v>315</v>
      </c>
      <c r="C69" s="443"/>
      <c r="D69" s="443"/>
      <c r="E69" s="300"/>
      <c r="G69" s="46"/>
    </row>
    <row r="70" spans="1:7" s="1" customFormat="1" ht="12" customHeight="1" x14ac:dyDescent="0.2">
      <c r="A70" s="14" t="s">
        <v>340</v>
      </c>
      <c r="B70" s="460" t="s">
        <v>316</v>
      </c>
      <c r="C70" s="443"/>
      <c r="D70" s="443"/>
      <c r="E70" s="300"/>
    </row>
    <row r="71" spans="1:7" s="1" customFormat="1" ht="12" customHeight="1" thickBot="1" x14ac:dyDescent="0.25">
      <c r="A71" s="16" t="s">
        <v>341</v>
      </c>
      <c r="B71" s="327" t="s">
        <v>317</v>
      </c>
      <c r="C71" s="443"/>
      <c r="D71" s="443"/>
      <c r="E71" s="300"/>
    </row>
    <row r="72" spans="1:7" s="1" customFormat="1" ht="12" customHeight="1" thickBot="1" x14ac:dyDescent="0.25">
      <c r="A72" s="507" t="s">
        <v>318</v>
      </c>
      <c r="B72" s="325" t="s">
        <v>319</v>
      </c>
      <c r="C72" s="439">
        <f>SUM(C73:C74)</f>
        <v>145745</v>
      </c>
      <c r="D72" s="439">
        <f>SUM(D73:D74)</f>
        <v>191553</v>
      </c>
      <c r="E72" s="296">
        <f>SUM(E73:E74)</f>
        <v>683022</v>
      </c>
    </row>
    <row r="73" spans="1:7" s="1" customFormat="1" ht="12" customHeight="1" x14ac:dyDescent="0.2">
      <c r="A73" s="15" t="s">
        <v>342</v>
      </c>
      <c r="B73" s="459" t="s">
        <v>320</v>
      </c>
      <c r="C73" s="443">
        <v>145162</v>
      </c>
      <c r="D73" s="443">
        <v>190750</v>
      </c>
      <c r="E73" s="300">
        <v>683022</v>
      </c>
    </row>
    <row r="74" spans="1:7" s="1" customFormat="1" ht="12" customHeight="1" thickBot="1" x14ac:dyDescent="0.25">
      <c r="A74" s="16" t="s">
        <v>343</v>
      </c>
      <c r="B74" s="327" t="s">
        <v>321</v>
      </c>
      <c r="C74" s="443">
        <v>583</v>
      </c>
      <c r="D74" s="443">
        <v>803</v>
      </c>
      <c r="E74" s="300"/>
    </row>
    <row r="75" spans="1:7" s="1" customFormat="1" ht="12" customHeight="1" thickBot="1" x14ac:dyDescent="0.25">
      <c r="A75" s="507" t="s">
        <v>322</v>
      </c>
      <c r="B75" s="325" t="s">
        <v>323</v>
      </c>
      <c r="C75" s="439">
        <f>SUM(C76:C78)</f>
        <v>18143</v>
      </c>
      <c r="D75" s="439">
        <f>SUM(D76:D78)</f>
        <v>787</v>
      </c>
      <c r="E75" s="296">
        <f>SUM(E76:E78)</f>
        <v>0</v>
      </c>
    </row>
    <row r="76" spans="1:7" s="1" customFormat="1" ht="12" customHeight="1" x14ac:dyDescent="0.2">
      <c r="A76" s="15" t="s">
        <v>344</v>
      </c>
      <c r="B76" s="459" t="s">
        <v>324</v>
      </c>
      <c r="C76" s="443">
        <v>18143</v>
      </c>
      <c r="D76" s="443">
        <v>180</v>
      </c>
      <c r="E76" s="300"/>
    </row>
    <row r="77" spans="1:7" s="1" customFormat="1" ht="12" customHeight="1" x14ac:dyDescent="0.2">
      <c r="A77" s="14" t="s">
        <v>345</v>
      </c>
      <c r="B77" s="460" t="s">
        <v>325</v>
      </c>
      <c r="C77" s="443"/>
      <c r="D77" s="443">
        <v>607</v>
      </c>
      <c r="E77" s="300"/>
    </row>
    <row r="78" spans="1:7" s="1" customFormat="1" ht="12" customHeight="1" thickBot="1" x14ac:dyDescent="0.25">
      <c r="A78" s="16" t="s">
        <v>346</v>
      </c>
      <c r="B78" s="327" t="s">
        <v>326</v>
      </c>
      <c r="C78" s="443"/>
      <c r="D78" s="443"/>
      <c r="E78" s="300"/>
    </row>
    <row r="79" spans="1:7" s="1" customFormat="1" ht="12" customHeight="1" thickBot="1" x14ac:dyDescent="0.25">
      <c r="A79" s="507" t="s">
        <v>327</v>
      </c>
      <c r="B79" s="325" t="s">
        <v>347</v>
      </c>
      <c r="C79" s="439">
        <f>SUM(C80:C83)</f>
        <v>0</v>
      </c>
      <c r="D79" s="439">
        <f>SUM(D80:D83)</f>
        <v>0</v>
      </c>
      <c r="E79" s="296">
        <f>SUM(E80:E83)</f>
        <v>0</v>
      </c>
    </row>
    <row r="80" spans="1:7" s="1" customFormat="1" ht="12" customHeight="1" x14ac:dyDescent="0.2">
      <c r="A80" s="463" t="s">
        <v>328</v>
      </c>
      <c r="B80" s="459" t="s">
        <v>329</v>
      </c>
      <c r="C80" s="443"/>
      <c r="D80" s="443"/>
      <c r="E80" s="300"/>
    </row>
    <row r="81" spans="1:6" s="1" customFormat="1" ht="12" customHeight="1" x14ac:dyDescent="0.2">
      <c r="A81" s="464" t="s">
        <v>330</v>
      </c>
      <c r="B81" s="460" t="s">
        <v>331</v>
      </c>
      <c r="C81" s="443"/>
      <c r="D81" s="443"/>
      <c r="E81" s="300"/>
    </row>
    <row r="82" spans="1:6" s="1" customFormat="1" ht="12" customHeight="1" x14ac:dyDescent="0.2">
      <c r="A82" s="464" t="s">
        <v>332</v>
      </c>
      <c r="B82" s="460" t="s">
        <v>333</v>
      </c>
      <c r="C82" s="443"/>
      <c r="D82" s="443"/>
      <c r="E82" s="300"/>
    </row>
    <row r="83" spans="1:6" s="1" customFormat="1" ht="12" customHeight="1" thickBot="1" x14ac:dyDescent="0.25">
      <c r="A83" s="465" t="s">
        <v>334</v>
      </c>
      <c r="B83" s="327" t="s">
        <v>335</v>
      </c>
      <c r="C83" s="443"/>
      <c r="D83" s="443"/>
      <c r="E83" s="300"/>
    </row>
    <row r="84" spans="1:6" s="1" customFormat="1" ht="12" customHeight="1" thickBot="1" x14ac:dyDescent="0.25">
      <c r="A84" s="507" t="s">
        <v>336</v>
      </c>
      <c r="B84" s="325" t="s">
        <v>478</v>
      </c>
      <c r="C84" s="509"/>
      <c r="D84" s="509"/>
      <c r="E84" s="510"/>
    </row>
    <row r="85" spans="1:6" s="1" customFormat="1" ht="12" customHeight="1" thickBot="1" x14ac:dyDescent="0.25">
      <c r="A85" s="507" t="s">
        <v>338</v>
      </c>
      <c r="B85" s="325" t="s">
        <v>337</v>
      </c>
      <c r="C85" s="509"/>
      <c r="D85" s="509"/>
      <c r="E85" s="510"/>
    </row>
    <row r="86" spans="1:6" s="1" customFormat="1" ht="12" customHeight="1" thickBot="1" x14ac:dyDescent="0.25">
      <c r="A86" s="507" t="s">
        <v>350</v>
      </c>
      <c r="B86" s="466" t="s">
        <v>481</v>
      </c>
      <c r="C86" s="446">
        <f>+C63+C67+C72+C75+C79+C85+C84</f>
        <v>163888</v>
      </c>
      <c r="D86" s="446">
        <f>+D63+D67+D72+D75+D79+D85+D84</f>
        <v>202338</v>
      </c>
      <c r="E86" s="490">
        <f>+E63+E67+E72+E75+E79+E85+E84</f>
        <v>699422</v>
      </c>
    </row>
    <row r="87" spans="1:6" s="1" customFormat="1" ht="12" customHeight="1" thickBot="1" x14ac:dyDescent="0.25">
      <c r="A87" s="508" t="s">
        <v>480</v>
      </c>
      <c r="B87" s="467" t="s">
        <v>482</v>
      </c>
      <c r="C87" s="446">
        <f>+C62+C86</f>
        <v>1409341</v>
      </c>
      <c r="D87" s="446">
        <f>+D62+D86</f>
        <v>1846129</v>
      </c>
      <c r="E87" s="490">
        <f>+E62+E86</f>
        <v>2125500</v>
      </c>
    </row>
    <row r="88" spans="1:6" s="1" customFormat="1" ht="12" customHeight="1" x14ac:dyDescent="0.2">
      <c r="A88" s="408"/>
      <c r="B88" s="409"/>
      <c r="C88" s="410"/>
      <c r="D88" s="411"/>
      <c r="E88" s="412"/>
    </row>
    <row r="89" spans="1:6" s="1" customFormat="1" ht="12" customHeight="1" x14ac:dyDescent="0.2">
      <c r="A89" s="669" t="s">
        <v>47</v>
      </c>
      <c r="B89" s="669"/>
      <c r="C89" s="669"/>
      <c r="D89" s="669"/>
      <c r="E89" s="669"/>
    </row>
    <row r="90" spans="1:6" s="1" customFormat="1" ht="12" customHeight="1" thickBot="1" x14ac:dyDescent="0.25">
      <c r="A90" s="671" t="s">
        <v>153</v>
      </c>
      <c r="B90" s="671"/>
      <c r="C90" s="425"/>
      <c r="D90" s="165"/>
      <c r="E90" s="340" t="s">
        <v>226</v>
      </c>
    </row>
    <row r="91" spans="1:6" s="1" customFormat="1" ht="24" customHeight="1" thickBot="1" x14ac:dyDescent="0.25">
      <c r="A91" s="23" t="s">
        <v>16</v>
      </c>
      <c r="B91" s="24" t="s">
        <v>48</v>
      </c>
      <c r="C91" s="24" t="str">
        <f>+C3</f>
        <v>2016. évi tény</v>
      </c>
      <c r="D91" s="24" t="str">
        <f>+D3</f>
        <v>2017. évi várható</v>
      </c>
      <c r="E91" s="186" t="str">
        <f>+E3</f>
        <v>2018. évi előirányzat</v>
      </c>
      <c r="F91" s="173"/>
    </row>
    <row r="92" spans="1:6" s="1" customFormat="1" ht="12" customHeight="1" thickBot="1" x14ac:dyDescent="0.25">
      <c r="A92" s="36" t="s">
        <v>495</v>
      </c>
      <c r="B92" s="37" t="s">
        <v>496</v>
      </c>
      <c r="C92" s="37" t="s">
        <v>497</v>
      </c>
      <c r="D92" s="37" t="s">
        <v>499</v>
      </c>
      <c r="E92" s="491" t="s">
        <v>498</v>
      </c>
      <c r="F92" s="173"/>
    </row>
    <row r="93" spans="1:6" s="1" customFormat="1" ht="15" customHeight="1" thickBot="1" x14ac:dyDescent="0.25">
      <c r="A93" s="22" t="s">
        <v>18</v>
      </c>
      <c r="B93" s="31" t="s">
        <v>440</v>
      </c>
      <c r="C93" s="438">
        <f>C94+C95+C96+C97+C98+C111</f>
        <v>1067189</v>
      </c>
      <c r="D93" s="438">
        <f>D94+D95+D96+D97+D98+D111</f>
        <v>1000567</v>
      </c>
      <c r="E93" s="540">
        <f>E94+E95+E96+E97+E98+E111</f>
        <v>1247451</v>
      </c>
      <c r="F93" s="173"/>
    </row>
    <row r="94" spans="1:6" s="1" customFormat="1" ht="12.95" customHeight="1" x14ac:dyDescent="0.2">
      <c r="A94" s="17" t="s">
        <v>99</v>
      </c>
      <c r="B94" s="10" t="s">
        <v>49</v>
      </c>
      <c r="C94" s="547">
        <v>512057</v>
      </c>
      <c r="D94" s="547">
        <v>520831</v>
      </c>
      <c r="E94" s="541">
        <v>534625</v>
      </c>
    </row>
    <row r="95" spans="1:6" ht="16.5" customHeight="1" x14ac:dyDescent="0.25">
      <c r="A95" s="14" t="s">
        <v>100</v>
      </c>
      <c r="B95" s="8" t="s">
        <v>180</v>
      </c>
      <c r="C95" s="440">
        <v>105114</v>
      </c>
      <c r="D95" s="440">
        <v>93648</v>
      </c>
      <c r="E95" s="297">
        <v>92088</v>
      </c>
    </row>
    <row r="96" spans="1:6" x14ac:dyDescent="0.25">
      <c r="A96" s="14" t="s">
        <v>101</v>
      </c>
      <c r="B96" s="8" t="s">
        <v>141</v>
      </c>
      <c r="C96" s="442">
        <v>382243</v>
      </c>
      <c r="D96" s="442">
        <v>353125</v>
      </c>
      <c r="E96" s="299">
        <v>507134</v>
      </c>
    </row>
    <row r="97" spans="1:5" s="45" customFormat="1" ht="12" customHeight="1" x14ac:dyDescent="0.2">
      <c r="A97" s="14" t="s">
        <v>102</v>
      </c>
      <c r="B97" s="11" t="s">
        <v>181</v>
      </c>
      <c r="C97" s="442">
        <v>16670</v>
      </c>
      <c r="D97" s="442">
        <v>6657</v>
      </c>
      <c r="E97" s="299">
        <v>21950</v>
      </c>
    </row>
    <row r="98" spans="1:5" ht="12" customHeight="1" x14ac:dyDescent="0.25">
      <c r="A98" s="14" t="s">
        <v>113</v>
      </c>
      <c r="B98" s="19" t="s">
        <v>182</v>
      </c>
      <c r="C98" s="442">
        <v>51105</v>
      </c>
      <c r="D98" s="442">
        <v>26306</v>
      </c>
      <c r="E98" s="299">
        <v>21130</v>
      </c>
    </row>
    <row r="99" spans="1:5" ht="12" customHeight="1" x14ac:dyDescent="0.25">
      <c r="A99" s="14" t="s">
        <v>103</v>
      </c>
      <c r="B99" s="8" t="s">
        <v>445</v>
      </c>
      <c r="C99" s="442"/>
      <c r="D99" s="442"/>
      <c r="E99" s="299"/>
    </row>
    <row r="100" spans="1:5" ht="12" customHeight="1" x14ac:dyDescent="0.25">
      <c r="A100" s="14" t="s">
        <v>104</v>
      </c>
      <c r="B100" s="169" t="s">
        <v>444</v>
      </c>
      <c r="C100" s="442"/>
      <c r="D100" s="442"/>
      <c r="E100" s="299"/>
    </row>
    <row r="101" spans="1:5" ht="12" customHeight="1" x14ac:dyDescent="0.25">
      <c r="A101" s="14" t="s">
        <v>114</v>
      </c>
      <c r="B101" s="169" t="s">
        <v>443</v>
      </c>
      <c r="C101" s="442"/>
      <c r="D101" s="442"/>
      <c r="E101" s="299"/>
    </row>
    <row r="102" spans="1:5" ht="12" customHeight="1" x14ac:dyDescent="0.25">
      <c r="A102" s="14" t="s">
        <v>115</v>
      </c>
      <c r="B102" s="167" t="s">
        <v>353</v>
      </c>
      <c r="C102" s="442"/>
      <c r="D102" s="442"/>
      <c r="E102" s="299"/>
    </row>
    <row r="103" spans="1:5" ht="12" customHeight="1" x14ac:dyDescent="0.25">
      <c r="A103" s="14" t="s">
        <v>116</v>
      </c>
      <c r="B103" s="168" t="s">
        <v>354</v>
      </c>
      <c r="C103" s="442"/>
      <c r="D103" s="442"/>
      <c r="E103" s="299"/>
    </row>
    <row r="104" spans="1:5" ht="12" customHeight="1" x14ac:dyDescent="0.25">
      <c r="A104" s="14" t="s">
        <v>117</v>
      </c>
      <c r="B104" s="168" t="s">
        <v>355</v>
      </c>
      <c r="C104" s="442"/>
      <c r="D104" s="442"/>
      <c r="E104" s="299"/>
    </row>
    <row r="105" spans="1:5" ht="12" customHeight="1" x14ac:dyDescent="0.25">
      <c r="A105" s="14" t="s">
        <v>119</v>
      </c>
      <c r="B105" s="167" t="s">
        <v>356</v>
      </c>
      <c r="C105" s="442"/>
      <c r="D105" s="442"/>
      <c r="E105" s="299"/>
    </row>
    <row r="106" spans="1:5" ht="12" customHeight="1" x14ac:dyDescent="0.25">
      <c r="A106" s="14" t="s">
        <v>183</v>
      </c>
      <c r="B106" s="167" t="s">
        <v>357</v>
      </c>
      <c r="C106" s="442"/>
      <c r="D106" s="442"/>
      <c r="E106" s="299"/>
    </row>
    <row r="107" spans="1:5" ht="12" customHeight="1" x14ac:dyDescent="0.25">
      <c r="A107" s="14" t="s">
        <v>351</v>
      </c>
      <c r="B107" s="168" t="s">
        <v>358</v>
      </c>
      <c r="C107" s="442"/>
      <c r="D107" s="442"/>
      <c r="E107" s="299"/>
    </row>
    <row r="108" spans="1:5" ht="12" customHeight="1" x14ac:dyDescent="0.25">
      <c r="A108" s="13" t="s">
        <v>352</v>
      </c>
      <c r="B108" s="169" t="s">
        <v>359</v>
      </c>
      <c r="C108" s="442"/>
      <c r="D108" s="442"/>
      <c r="E108" s="299"/>
    </row>
    <row r="109" spans="1:5" ht="12" customHeight="1" x14ac:dyDescent="0.25">
      <c r="A109" s="14" t="s">
        <v>441</v>
      </c>
      <c r="B109" s="169" t="s">
        <v>360</v>
      </c>
      <c r="C109" s="442"/>
      <c r="D109" s="442"/>
      <c r="E109" s="299"/>
    </row>
    <row r="110" spans="1:5" ht="12" customHeight="1" x14ac:dyDescent="0.25">
      <c r="A110" s="16" t="s">
        <v>442</v>
      </c>
      <c r="B110" s="169" t="s">
        <v>361</v>
      </c>
      <c r="C110" s="442"/>
      <c r="D110" s="442"/>
      <c r="E110" s="299"/>
    </row>
    <row r="111" spans="1:5" ht="12" customHeight="1" x14ac:dyDescent="0.25">
      <c r="A111" s="14" t="s">
        <v>446</v>
      </c>
      <c r="B111" s="11" t="s">
        <v>50</v>
      </c>
      <c r="C111" s="440"/>
      <c r="D111" s="440"/>
      <c r="E111" s="297">
        <v>70524</v>
      </c>
    </row>
    <row r="112" spans="1:5" ht="12" customHeight="1" x14ac:dyDescent="0.25">
      <c r="A112" s="14" t="s">
        <v>447</v>
      </c>
      <c r="B112" s="8" t="s">
        <v>449</v>
      </c>
      <c r="C112" s="440"/>
      <c r="D112" s="440"/>
      <c r="E112" s="297"/>
    </row>
    <row r="113" spans="1:5" ht="12" customHeight="1" thickBot="1" x14ac:dyDescent="0.3">
      <c r="A113" s="18" t="s">
        <v>448</v>
      </c>
      <c r="B113" s="534" t="s">
        <v>450</v>
      </c>
      <c r="C113" s="548"/>
      <c r="D113" s="548"/>
      <c r="E113" s="542"/>
    </row>
    <row r="114" spans="1:5" ht="12" customHeight="1" thickBot="1" x14ac:dyDescent="0.3">
      <c r="A114" s="531" t="s">
        <v>19</v>
      </c>
      <c r="B114" s="532" t="s">
        <v>362</v>
      </c>
      <c r="C114" s="549">
        <f>+C115+C117+C119</f>
        <v>141254</v>
      </c>
      <c r="D114" s="549">
        <f>+D115+D117+D119</f>
        <v>83436</v>
      </c>
      <c r="E114" s="543">
        <f>+E115+E117+E119</f>
        <v>854138</v>
      </c>
    </row>
    <row r="115" spans="1:5" ht="12" customHeight="1" x14ac:dyDescent="0.25">
      <c r="A115" s="15" t="s">
        <v>105</v>
      </c>
      <c r="B115" s="8" t="s">
        <v>225</v>
      </c>
      <c r="C115" s="441">
        <v>103983</v>
      </c>
      <c r="D115" s="441">
        <v>67024</v>
      </c>
      <c r="E115" s="298">
        <v>839560</v>
      </c>
    </row>
    <row r="116" spans="1:5" x14ac:dyDescent="0.25">
      <c r="A116" s="15" t="s">
        <v>106</v>
      </c>
      <c r="B116" s="12" t="s">
        <v>366</v>
      </c>
      <c r="C116" s="441"/>
      <c r="D116" s="441"/>
      <c r="E116" s="298"/>
    </row>
    <row r="117" spans="1:5" ht="12" customHeight="1" x14ac:dyDescent="0.25">
      <c r="A117" s="15" t="s">
        <v>107</v>
      </c>
      <c r="B117" s="12" t="s">
        <v>184</v>
      </c>
      <c r="C117" s="440">
        <v>37271</v>
      </c>
      <c r="D117" s="440">
        <v>16412</v>
      </c>
      <c r="E117" s="297">
        <v>10509</v>
      </c>
    </row>
    <row r="118" spans="1:5" ht="12" customHeight="1" x14ac:dyDescent="0.25">
      <c r="A118" s="15" t="s">
        <v>108</v>
      </c>
      <c r="B118" s="12" t="s">
        <v>367</v>
      </c>
      <c r="C118" s="440"/>
      <c r="D118" s="440"/>
      <c r="E118" s="297"/>
    </row>
    <row r="119" spans="1:5" ht="12" customHeight="1" x14ac:dyDescent="0.25">
      <c r="A119" s="15" t="s">
        <v>109</v>
      </c>
      <c r="B119" s="327" t="s">
        <v>228</v>
      </c>
      <c r="C119" s="440">
        <v>0</v>
      </c>
      <c r="D119" s="440">
        <v>0</v>
      </c>
      <c r="E119" s="297">
        <v>4069</v>
      </c>
    </row>
    <row r="120" spans="1:5" ht="12" customHeight="1" x14ac:dyDescent="0.25">
      <c r="A120" s="15" t="s">
        <v>118</v>
      </c>
      <c r="B120" s="326" t="s">
        <v>431</v>
      </c>
      <c r="C120" s="440"/>
      <c r="D120" s="440"/>
      <c r="E120" s="297"/>
    </row>
    <row r="121" spans="1:5" ht="12" customHeight="1" x14ac:dyDescent="0.25">
      <c r="A121" s="15" t="s">
        <v>120</v>
      </c>
      <c r="B121" s="455" t="s">
        <v>372</v>
      </c>
      <c r="C121" s="440"/>
      <c r="D121" s="440"/>
      <c r="E121" s="297"/>
    </row>
    <row r="122" spans="1:5" ht="12" customHeight="1" x14ac:dyDescent="0.25">
      <c r="A122" s="15" t="s">
        <v>185</v>
      </c>
      <c r="B122" s="168" t="s">
        <v>355</v>
      </c>
      <c r="C122" s="440"/>
      <c r="D122" s="440"/>
      <c r="E122" s="297"/>
    </row>
    <row r="123" spans="1:5" ht="12" customHeight="1" x14ac:dyDescent="0.25">
      <c r="A123" s="15" t="s">
        <v>186</v>
      </c>
      <c r="B123" s="168" t="s">
        <v>371</v>
      </c>
      <c r="C123" s="440"/>
      <c r="D123" s="440"/>
      <c r="E123" s="297"/>
    </row>
    <row r="124" spans="1:5" ht="12" customHeight="1" x14ac:dyDescent="0.25">
      <c r="A124" s="15" t="s">
        <v>187</v>
      </c>
      <c r="B124" s="168" t="s">
        <v>370</v>
      </c>
      <c r="C124" s="440"/>
      <c r="D124" s="440"/>
      <c r="E124" s="297"/>
    </row>
    <row r="125" spans="1:5" ht="12" customHeight="1" x14ac:dyDescent="0.25">
      <c r="A125" s="15" t="s">
        <v>363</v>
      </c>
      <c r="B125" s="168" t="s">
        <v>358</v>
      </c>
      <c r="C125" s="440"/>
      <c r="D125" s="440"/>
      <c r="E125" s="297"/>
    </row>
    <row r="126" spans="1:5" ht="12" customHeight="1" x14ac:dyDescent="0.25">
      <c r="A126" s="15" t="s">
        <v>364</v>
      </c>
      <c r="B126" s="168" t="s">
        <v>369</v>
      </c>
      <c r="C126" s="440"/>
      <c r="D126" s="440"/>
      <c r="E126" s="297"/>
    </row>
    <row r="127" spans="1:5" ht="12" customHeight="1" thickBot="1" x14ac:dyDescent="0.3">
      <c r="A127" s="13" t="s">
        <v>365</v>
      </c>
      <c r="B127" s="168" t="s">
        <v>368</v>
      </c>
      <c r="C127" s="442"/>
      <c r="D127" s="442"/>
      <c r="E127" s="299"/>
    </row>
    <row r="128" spans="1:5" ht="12" customHeight="1" thickBot="1" x14ac:dyDescent="0.3">
      <c r="A128" s="20" t="s">
        <v>20</v>
      </c>
      <c r="B128" s="150" t="s">
        <v>451</v>
      </c>
      <c r="C128" s="439">
        <f>+C93+C114</f>
        <v>1208443</v>
      </c>
      <c r="D128" s="439">
        <f>+D93+D114</f>
        <v>1084003</v>
      </c>
      <c r="E128" s="296">
        <f>+E93+E114</f>
        <v>2101589</v>
      </c>
    </row>
    <row r="129" spans="1:5" ht="12" customHeight="1" thickBot="1" x14ac:dyDescent="0.3">
      <c r="A129" s="20" t="s">
        <v>21</v>
      </c>
      <c r="B129" s="150" t="s">
        <v>452</v>
      </c>
      <c r="C129" s="439">
        <f>+C130+C131+C132</f>
        <v>1633</v>
      </c>
      <c r="D129" s="439">
        <f>+D130+D131+D132</f>
        <v>3532</v>
      </c>
      <c r="E129" s="296">
        <f>+E130+E131+E132</f>
        <v>4272</v>
      </c>
    </row>
    <row r="130" spans="1:5" ht="12" customHeight="1" x14ac:dyDescent="0.25">
      <c r="A130" s="15" t="s">
        <v>267</v>
      </c>
      <c r="B130" s="12" t="s">
        <v>459</v>
      </c>
      <c r="C130" s="440">
        <v>1633</v>
      </c>
      <c r="D130" s="440">
        <v>3532</v>
      </c>
      <c r="E130" s="297">
        <v>4272</v>
      </c>
    </row>
    <row r="131" spans="1:5" ht="12" customHeight="1" x14ac:dyDescent="0.25">
      <c r="A131" s="15" t="s">
        <v>268</v>
      </c>
      <c r="B131" s="12" t="s">
        <v>460</v>
      </c>
      <c r="C131" s="440"/>
      <c r="D131" s="440"/>
      <c r="E131" s="297"/>
    </row>
    <row r="132" spans="1:5" ht="12" customHeight="1" thickBot="1" x14ac:dyDescent="0.3">
      <c r="A132" s="13" t="s">
        <v>269</v>
      </c>
      <c r="B132" s="12" t="s">
        <v>461</v>
      </c>
      <c r="C132" s="440"/>
      <c r="D132" s="440"/>
      <c r="E132" s="297"/>
    </row>
    <row r="133" spans="1:5" ht="12" customHeight="1" thickBot="1" x14ac:dyDescent="0.3">
      <c r="A133" s="20" t="s">
        <v>22</v>
      </c>
      <c r="B133" s="150" t="s">
        <v>453</v>
      </c>
      <c r="C133" s="439">
        <f>SUM(C134:C139)</f>
        <v>0</v>
      </c>
      <c r="D133" s="439">
        <f>SUM(D134:D139)</f>
        <v>0</v>
      </c>
      <c r="E133" s="296">
        <f>SUM(E134:E139)</f>
        <v>0</v>
      </c>
    </row>
    <row r="134" spans="1:5" ht="12" customHeight="1" x14ac:dyDescent="0.25">
      <c r="A134" s="15" t="s">
        <v>92</v>
      </c>
      <c r="B134" s="9" t="s">
        <v>462</v>
      </c>
      <c r="C134" s="440"/>
      <c r="D134" s="440"/>
      <c r="E134" s="297"/>
    </row>
    <row r="135" spans="1:5" ht="12" customHeight="1" x14ac:dyDescent="0.25">
      <c r="A135" s="15" t="s">
        <v>93</v>
      </c>
      <c r="B135" s="9" t="s">
        <v>454</v>
      </c>
      <c r="C135" s="440"/>
      <c r="D135" s="440"/>
      <c r="E135" s="297"/>
    </row>
    <row r="136" spans="1:5" ht="12" customHeight="1" x14ac:dyDescent="0.25">
      <c r="A136" s="15" t="s">
        <v>94</v>
      </c>
      <c r="B136" s="9" t="s">
        <v>455</v>
      </c>
      <c r="C136" s="440"/>
      <c r="D136" s="440"/>
      <c r="E136" s="297"/>
    </row>
    <row r="137" spans="1:5" ht="12" customHeight="1" x14ac:dyDescent="0.25">
      <c r="A137" s="15" t="s">
        <v>172</v>
      </c>
      <c r="B137" s="9" t="s">
        <v>456</v>
      </c>
      <c r="C137" s="440"/>
      <c r="D137" s="440"/>
      <c r="E137" s="297"/>
    </row>
    <row r="138" spans="1:5" ht="12" customHeight="1" x14ac:dyDescent="0.25">
      <c r="A138" s="15" t="s">
        <v>173</v>
      </c>
      <c r="B138" s="9" t="s">
        <v>457</v>
      </c>
      <c r="C138" s="440"/>
      <c r="D138" s="440"/>
      <c r="E138" s="297"/>
    </row>
    <row r="139" spans="1:5" ht="12" customHeight="1" thickBot="1" x14ac:dyDescent="0.3">
      <c r="A139" s="13" t="s">
        <v>174</v>
      </c>
      <c r="B139" s="9" t="s">
        <v>458</v>
      </c>
      <c r="C139" s="440"/>
      <c r="D139" s="440"/>
      <c r="E139" s="297"/>
    </row>
    <row r="140" spans="1:5" ht="12" customHeight="1" thickBot="1" x14ac:dyDescent="0.3">
      <c r="A140" s="20" t="s">
        <v>23</v>
      </c>
      <c r="B140" s="150" t="s">
        <v>466</v>
      </c>
      <c r="C140" s="446">
        <f>+C141+C142+C143+C144</f>
        <v>17544</v>
      </c>
      <c r="D140" s="446">
        <f>+D141+D142+D143+D144</f>
        <v>19096</v>
      </c>
      <c r="E140" s="490">
        <f>+E141+E142+E143+E144</f>
        <v>19640</v>
      </c>
    </row>
    <row r="141" spans="1:5" ht="12" customHeight="1" x14ac:dyDescent="0.25">
      <c r="A141" s="15" t="s">
        <v>95</v>
      </c>
      <c r="B141" s="9" t="s">
        <v>373</v>
      </c>
      <c r="C141" s="440"/>
      <c r="D141" s="440"/>
      <c r="E141" s="297"/>
    </row>
    <row r="142" spans="1:5" ht="12" customHeight="1" x14ac:dyDescent="0.25">
      <c r="A142" s="15" t="s">
        <v>96</v>
      </c>
      <c r="B142" s="9" t="s">
        <v>374</v>
      </c>
      <c r="C142" s="440">
        <v>16664</v>
      </c>
      <c r="D142" s="440">
        <v>18143</v>
      </c>
      <c r="E142" s="297">
        <v>18607</v>
      </c>
    </row>
    <row r="143" spans="1:5" ht="12" customHeight="1" x14ac:dyDescent="0.25">
      <c r="A143" s="15" t="s">
        <v>287</v>
      </c>
      <c r="B143" s="9" t="s">
        <v>467</v>
      </c>
      <c r="C143" s="440"/>
      <c r="D143" s="440"/>
      <c r="E143" s="297"/>
    </row>
    <row r="144" spans="1:5" ht="12" customHeight="1" thickBot="1" x14ac:dyDescent="0.3">
      <c r="A144" s="13" t="s">
        <v>288</v>
      </c>
      <c r="B144" s="7" t="s">
        <v>393</v>
      </c>
      <c r="C144" s="440">
        <v>880</v>
      </c>
      <c r="D144" s="440">
        <v>953</v>
      </c>
      <c r="E144" s="297">
        <v>1033</v>
      </c>
    </row>
    <row r="145" spans="1:6" ht="12" customHeight="1" thickBot="1" x14ac:dyDescent="0.3">
      <c r="A145" s="20" t="s">
        <v>24</v>
      </c>
      <c r="B145" s="150" t="s">
        <v>468</v>
      </c>
      <c r="C145" s="550">
        <f>SUM(C146:C150)</f>
        <v>0</v>
      </c>
      <c r="D145" s="550">
        <f>SUM(D146:D150)</f>
        <v>0</v>
      </c>
      <c r="E145" s="544">
        <f>SUM(E146:E150)</f>
        <v>0</v>
      </c>
    </row>
    <row r="146" spans="1:6" ht="12" customHeight="1" x14ac:dyDescent="0.25">
      <c r="A146" s="15" t="s">
        <v>97</v>
      </c>
      <c r="B146" s="9" t="s">
        <v>463</v>
      </c>
      <c r="C146" s="440"/>
      <c r="D146" s="440"/>
      <c r="E146" s="297"/>
    </row>
    <row r="147" spans="1:6" ht="12" customHeight="1" x14ac:dyDescent="0.25">
      <c r="A147" s="15" t="s">
        <v>98</v>
      </c>
      <c r="B147" s="9" t="s">
        <v>470</v>
      </c>
      <c r="C147" s="440"/>
      <c r="D147" s="440"/>
      <c r="E147" s="297"/>
    </row>
    <row r="148" spans="1:6" ht="12" customHeight="1" x14ac:dyDescent="0.25">
      <c r="A148" s="15" t="s">
        <v>299</v>
      </c>
      <c r="B148" s="9" t="s">
        <v>465</v>
      </c>
      <c r="C148" s="440"/>
      <c r="D148" s="440"/>
      <c r="E148" s="297"/>
    </row>
    <row r="149" spans="1:6" ht="12" customHeight="1" x14ac:dyDescent="0.25">
      <c r="A149" s="15" t="s">
        <v>300</v>
      </c>
      <c r="B149" s="9" t="s">
        <v>471</v>
      </c>
      <c r="C149" s="440"/>
      <c r="D149" s="440"/>
      <c r="E149" s="297"/>
    </row>
    <row r="150" spans="1:6" ht="12" customHeight="1" thickBot="1" x14ac:dyDescent="0.3">
      <c r="A150" s="15" t="s">
        <v>469</v>
      </c>
      <c r="B150" s="9" t="s">
        <v>472</v>
      </c>
      <c r="C150" s="440"/>
      <c r="D150" s="440"/>
      <c r="E150" s="297"/>
    </row>
    <row r="151" spans="1:6" ht="12" customHeight="1" thickBot="1" x14ac:dyDescent="0.3">
      <c r="A151" s="20" t="s">
        <v>25</v>
      </c>
      <c r="B151" s="150" t="s">
        <v>473</v>
      </c>
      <c r="C151" s="551"/>
      <c r="D151" s="551"/>
      <c r="E151" s="545"/>
    </row>
    <row r="152" spans="1:6" ht="12" customHeight="1" thickBot="1" x14ac:dyDescent="0.3">
      <c r="A152" s="20" t="s">
        <v>26</v>
      </c>
      <c r="B152" s="150" t="s">
        <v>474</v>
      </c>
      <c r="C152" s="551"/>
      <c r="D152" s="551"/>
      <c r="E152" s="545"/>
    </row>
    <row r="153" spans="1:6" ht="15" customHeight="1" thickBot="1" x14ac:dyDescent="0.3">
      <c r="A153" s="20" t="s">
        <v>27</v>
      </c>
      <c r="B153" s="150" t="s">
        <v>476</v>
      </c>
      <c r="C153" s="552">
        <f>+C129+C133+C140+C145+C151+C152</f>
        <v>19177</v>
      </c>
      <c r="D153" s="552">
        <f>+D129+D133+D140+D145+D151+D152</f>
        <v>22628</v>
      </c>
      <c r="E153" s="546">
        <f>+E129+E133+E140+E145+E151+E152</f>
        <v>23912</v>
      </c>
      <c r="F153" s="151"/>
    </row>
    <row r="154" spans="1:6" s="1" customFormat="1" ht="12.95" customHeight="1" thickBot="1" x14ac:dyDescent="0.25">
      <c r="A154" s="328" t="s">
        <v>28</v>
      </c>
      <c r="B154" s="421" t="s">
        <v>475</v>
      </c>
      <c r="C154" s="552">
        <f>+C128+C153</f>
        <v>1227620</v>
      </c>
      <c r="D154" s="552">
        <f>+D128+D153</f>
        <v>1106631</v>
      </c>
      <c r="E154" s="546">
        <f>+E128+E153</f>
        <v>2125501</v>
      </c>
    </row>
    <row r="155" spans="1:6" x14ac:dyDescent="0.25">
      <c r="C155" s="424"/>
    </row>
    <row r="156" spans="1:6" x14ac:dyDescent="0.25">
      <c r="C156" s="424"/>
    </row>
    <row r="157" spans="1:6" x14ac:dyDescent="0.25">
      <c r="C157" s="424"/>
    </row>
    <row r="158" spans="1:6" ht="16.5" customHeight="1" x14ac:dyDescent="0.25">
      <c r="C158" s="424"/>
    </row>
    <row r="159" spans="1:6" x14ac:dyDescent="0.25">
      <c r="C159" s="424"/>
    </row>
    <row r="160" spans="1:6" x14ac:dyDescent="0.25">
      <c r="C160" s="424"/>
    </row>
    <row r="161" spans="3:3" x14ac:dyDescent="0.25">
      <c r="C161" s="424"/>
    </row>
    <row r="162" spans="3:3" x14ac:dyDescent="0.25">
      <c r="C162" s="424"/>
    </row>
    <row r="163" spans="3:3" x14ac:dyDescent="0.25">
      <c r="C163" s="424"/>
    </row>
    <row r="164" spans="3:3" x14ac:dyDescent="0.25">
      <c r="C164" s="424"/>
    </row>
    <row r="165" spans="3:3" x14ac:dyDescent="0.25">
      <c r="C165" s="424"/>
    </row>
    <row r="166" spans="3:3" x14ac:dyDescent="0.25">
      <c r="C166" s="424"/>
    </row>
    <row r="167" spans="3:3" x14ac:dyDescent="0.25">
      <c r="C167" s="424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2018.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topLeftCell="A4" zoomScaleNormal="100" workbookViewId="0">
      <selection activeCell="B19" sqref="B19"/>
    </sheetView>
  </sheetViews>
  <sheetFormatPr defaultRowHeight="12.75" x14ac:dyDescent="0.2"/>
  <cols>
    <col min="1" max="1" width="6.83203125" style="215" customWidth="1"/>
    <col min="2" max="2" width="49.6640625" style="61" customWidth="1"/>
    <col min="3" max="9" width="12.83203125" style="61" customWidth="1"/>
    <col min="10" max="10" width="14.33203125" style="61" customWidth="1"/>
    <col min="11" max="11" width="3.33203125" style="61" customWidth="1"/>
    <col min="12" max="16384" width="9.33203125" style="61"/>
  </cols>
  <sheetData>
    <row r="1" spans="1:11" ht="27.75" customHeight="1" x14ac:dyDescent="0.2">
      <c r="A1" s="698" t="s">
        <v>4</v>
      </c>
      <c r="B1" s="698"/>
      <c r="C1" s="698"/>
      <c r="D1" s="698"/>
      <c r="E1" s="698"/>
      <c r="F1" s="698"/>
      <c r="G1" s="698"/>
      <c r="H1" s="698"/>
      <c r="I1" s="698"/>
      <c r="J1" s="698"/>
    </row>
    <row r="2" spans="1:11" ht="20.25" customHeight="1" thickBot="1" x14ac:dyDescent="0.3">
      <c r="J2" s="525" t="s">
        <v>61</v>
      </c>
    </row>
    <row r="3" spans="1:11" s="526" customFormat="1" ht="19.5" customHeight="1" x14ac:dyDescent="0.2">
      <c r="A3" s="706" t="s">
        <v>70</v>
      </c>
      <c r="B3" s="701" t="s">
        <v>86</v>
      </c>
      <c r="C3" s="708" t="s">
        <v>87</v>
      </c>
      <c r="D3" s="706" t="s">
        <v>645</v>
      </c>
      <c r="E3" s="706" t="str">
        <f>+CONCATENATE(LEFT(ÖSSZEFÜGGÉSEK!A5,4)," előtti kifizetés")</f>
        <v>2018 előtti kifizetés</v>
      </c>
      <c r="F3" s="703" t="s">
        <v>69</v>
      </c>
      <c r="G3" s="704"/>
      <c r="H3" s="704"/>
      <c r="I3" s="705"/>
      <c r="J3" s="701" t="s">
        <v>51</v>
      </c>
    </row>
    <row r="4" spans="1:11" s="527" customFormat="1" ht="23.25" customHeight="1" thickBot="1" x14ac:dyDescent="0.25">
      <c r="A4" s="707"/>
      <c r="B4" s="702"/>
      <c r="C4" s="709"/>
      <c r="D4" s="707"/>
      <c r="E4" s="707"/>
      <c r="F4" s="302" t="str">
        <f>+CONCATENATE(LEFT(ÖSSZEFÜGGÉSEK!A5,4),".")</f>
        <v>2018.</v>
      </c>
      <c r="G4" s="302" t="str">
        <f>+CONCATENATE(LEFT(ÖSSZEFÜGGÉSEK!A5,4)+1,".")</f>
        <v>2019.</v>
      </c>
      <c r="H4" s="302" t="str">
        <f>+CONCATENATE(LEFT(ÖSSZEFÜGGÉSEK!A5,4)+2,".")</f>
        <v>2020.</v>
      </c>
      <c r="I4" s="303" t="str">
        <f>+CONCATENATE(LEFT(ÖSSZEFÜGGÉSEK!A5,4)+2,".",CHAR(10)," után")</f>
        <v>2020.
 után</v>
      </c>
      <c r="J4" s="702"/>
    </row>
    <row r="5" spans="1:11" s="528" customFormat="1" ht="12.95" customHeight="1" thickBot="1" x14ac:dyDescent="0.25">
      <c r="A5" s="304" t="s">
        <v>495</v>
      </c>
      <c r="B5" s="305" t="s">
        <v>496</v>
      </c>
      <c r="C5" s="306" t="s">
        <v>497</v>
      </c>
      <c r="D5" s="305" t="s">
        <v>499</v>
      </c>
      <c r="E5" s="305" t="s">
        <v>498</v>
      </c>
      <c r="F5" s="304" t="s">
        <v>500</v>
      </c>
      <c r="G5" s="306" t="s">
        <v>501</v>
      </c>
      <c r="H5" s="306" t="s">
        <v>502</v>
      </c>
      <c r="I5" s="307" t="s">
        <v>646</v>
      </c>
      <c r="J5" s="308" t="s">
        <v>647</v>
      </c>
    </row>
    <row r="6" spans="1:11" ht="24.75" customHeight="1" thickBot="1" x14ac:dyDescent="0.25">
      <c r="A6" s="309" t="s">
        <v>18</v>
      </c>
      <c r="B6" s="310" t="s">
        <v>5</v>
      </c>
      <c r="C6" s="634"/>
      <c r="D6" s="637"/>
      <c r="E6" s="76">
        <f>+E7+E8</f>
        <v>0</v>
      </c>
      <c r="F6" s="77">
        <f>+F7+F8</f>
        <v>0</v>
      </c>
      <c r="G6" s="78">
        <f>+G7+G8</f>
        <v>0</v>
      </c>
      <c r="H6" s="78">
        <f>+H7+H8</f>
        <v>0</v>
      </c>
      <c r="I6" s="79">
        <f>+I7+I8</f>
        <v>0</v>
      </c>
      <c r="J6" s="76">
        <f t="shared" ref="J6:J26" si="0">SUM(E6:I6)</f>
        <v>0</v>
      </c>
    </row>
    <row r="7" spans="1:11" ht="20.100000000000001" customHeight="1" x14ac:dyDescent="0.2">
      <c r="A7" s="311" t="s">
        <v>19</v>
      </c>
      <c r="B7" s="80" t="s">
        <v>71</v>
      </c>
      <c r="C7" s="635"/>
      <c r="D7" s="623"/>
      <c r="E7" s="81"/>
      <c r="F7" s="82"/>
      <c r="G7" s="28"/>
      <c r="H7" s="28"/>
      <c r="I7" s="25"/>
      <c r="J7" s="312">
        <f t="shared" si="0"/>
        <v>0</v>
      </c>
      <c r="K7" s="697" t="s">
        <v>529</v>
      </c>
    </row>
    <row r="8" spans="1:11" ht="20.100000000000001" customHeight="1" thickBot="1" x14ac:dyDescent="0.25">
      <c r="A8" s="311" t="s">
        <v>20</v>
      </c>
      <c r="B8" s="80" t="s">
        <v>71</v>
      </c>
      <c r="C8" s="635"/>
      <c r="D8" s="623"/>
      <c r="E8" s="81"/>
      <c r="F8" s="82"/>
      <c r="G8" s="28"/>
      <c r="H8" s="28"/>
      <c r="I8" s="25"/>
      <c r="J8" s="312">
        <f t="shared" si="0"/>
        <v>0</v>
      </c>
      <c r="K8" s="697"/>
    </row>
    <row r="9" spans="1:11" ht="26.1" customHeight="1" thickBot="1" x14ac:dyDescent="0.25">
      <c r="A9" s="309" t="s">
        <v>21</v>
      </c>
      <c r="B9" s="310" t="s">
        <v>6</v>
      </c>
      <c r="C9" s="636"/>
      <c r="D9" s="638"/>
      <c r="E9" s="76">
        <f>SUM(E10:E20)</f>
        <v>14308</v>
      </c>
      <c r="F9" s="77">
        <f>SUM(F10:F20)</f>
        <v>6949</v>
      </c>
      <c r="G9" s="78">
        <f>SUM(G10:G20)</f>
        <v>8397</v>
      </c>
      <c r="H9" s="78">
        <f>SUM(H10:H20)</f>
        <v>9142</v>
      </c>
      <c r="I9" s="79">
        <f>SUM(I10:I20)</f>
        <v>45527</v>
      </c>
      <c r="J9" s="76">
        <f t="shared" si="0"/>
        <v>84323</v>
      </c>
      <c r="K9" s="697"/>
    </row>
    <row r="10" spans="1:11" ht="20.100000000000001" customHeight="1" x14ac:dyDescent="0.2">
      <c r="A10" s="626" t="s">
        <v>22</v>
      </c>
      <c r="B10" s="625" t="s">
        <v>659</v>
      </c>
      <c r="C10" s="622" t="s">
        <v>583</v>
      </c>
      <c r="D10" s="639" t="s">
        <v>648</v>
      </c>
      <c r="E10" s="620">
        <f>500+504+2016</f>
        <v>3020</v>
      </c>
      <c r="F10" s="614">
        <v>2016</v>
      </c>
      <c r="G10" s="615">
        <v>2016</v>
      </c>
      <c r="H10" s="615">
        <v>2016</v>
      </c>
      <c r="I10" s="616">
        <f>19140-2016</f>
        <v>17124</v>
      </c>
      <c r="J10" s="613">
        <f t="shared" si="0"/>
        <v>26192</v>
      </c>
      <c r="K10" s="697"/>
    </row>
    <row r="11" spans="1:11" ht="20.100000000000001" customHeight="1" x14ac:dyDescent="0.2">
      <c r="A11" s="646"/>
      <c r="B11" s="625" t="s">
        <v>662</v>
      </c>
      <c r="C11" s="647"/>
      <c r="D11" s="639"/>
      <c r="E11" s="620">
        <f>2190+1042</f>
        <v>3232</v>
      </c>
      <c r="F11" s="648">
        <v>958</v>
      </c>
      <c r="G11" s="649">
        <v>874</v>
      </c>
      <c r="H11" s="649">
        <v>790</v>
      </c>
      <c r="I11" s="650"/>
      <c r="J11" s="651">
        <f>SUM(E11:I11)</f>
        <v>5854</v>
      </c>
      <c r="K11" s="697"/>
    </row>
    <row r="12" spans="1:11" ht="20.100000000000001" customHeight="1" x14ac:dyDescent="0.2">
      <c r="A12" s="627" t="s">
        <v>23</v>
      </c>
      <c r="B12" s="625" t="s">
        <v>660</v>
      </c>
      <c r="C12" s="623" t="s">
        <v>583</v>
      </c>
      <c r="D12" s="640" t="s">
        <v>648</v>
      </c>
      <c r="E12" s="620">
        <f>129+516</f>
        <v>645</v>
      </c>
      <c r="F12" s="82">
        <v>516</v>
      </c>
      <c r="G12" s="28">
        <v>516</v>
      </c>
      <c r="H12" s="28">
        <v>516</v>
      </c>
      <c r="I12" s="25">
        <f>5019-516</f>
        <v>4503</v>
      </c>
      <c r="J12" s="312">
        <f t="shared" si="0"/>
        <v>6696</v>
      </c>
      <c r="K12" s="697"/>
    </row>
    <row r="13" spans="1:11" ht="20.100000000000001" customHeight="1" x14ac:dyDescent="0.2">
      <c r="A13" s="627"/>
      <c r="B13" s="625" t="s">
        <v>661</v>
      </c>
      <c r="C13" s="623"/>
      <c r="D13" s="640"/>
      <c r="E13" s="620">
        <f>560+266</f>
        <v>826</v>
      </c>
      <c r="F13" s="82">
        <v>245</v>
      </c>
      <c r="G13" s="28">
        <v>223</v>
      </c>
      <c r="H13" s="28">
        <v>202</v>
      </c>
      <c r="I13" s="25"/>
      <c r="J13" s="312">
        <f>SUM(E13:I13)</f>
        <v>1496</v>
      </c>
      <c r="K13" s="697"/>
    </row>
    <row r="14" spans="1:11" ht="20.100000000000001" customHeight="1" x14ac:dyDescent="0.2">
      <c r="A14" s="627" t="s">
        <v>24</v>
      </c>
      <c r="B14" s="625" t="s">
        <v>663</v>
      </c>
      <c r="C14" s="623" t="s">
        <v>584</v>
      </c>
      <c r="D14" s="640" t="s">
        <v>649</v>
      </c>
      <c r="E14" s="620">
        <f>500+1000+1000</f>
        <v>2500</v>
      </c>
      <c r="F14" s="82">
        <v>1000</v>
      </c>
      <c r="G14" s="28">
        <v>1000</v>
      </c>
      <c r="H14" s="28">
        <v>1000</v>
      </c>
      <c r="I14" s="25">
        <f>5498-1000</f>
        <v>4498</v>
      </c>
      <c r="J14" s="312">
        <f t="shared" si="0"/>
        <v>9998</v>
      </c>
      <c r="K14" s="697"/>
    </row>
    <row r="15" spans="1:11" ht="20.100000000000001" customHeight="1" x14ac:dyDescent="0.2">
      <c r="A15" s="627"/>
      <c r="B15" s="625" t="s">
        <v>664</v>
      </c>
      <c r="C15" s="623"/>
      <c r="D15" s="640"/>
      <c r="E15" s="620">
        <f>711+303</f>
        <v>1014</v>
      </c>
      <c r="F15" s="82">
        <v>266</v>
      </c>
      <c r="G15" s="28">
        <v>228</v>
      </c>
      <c r="H15" s="28">
        <v>191</v>
      </c>
      <c r="I15" s="25"/>
      <c r="J15" s="312">
        <f>SUM(E15:I15)</f>
        <v>1699</v>
      </c>
      <c r="K15" s="697"/>
    </row>
    <row r="16" spans="1:11" ht="20.100000000000001" customHeight="1" x14ac:dyDescent="0.2">
      <c r="A16" s="627" t="s">
        <v>25</v>
      </c>
      <c r="B16" s="625" t="s">
        <v>665</v>
      </c>
      <c r="C16" s="623" t="s">
        <v>584</v>
      </c>
      <c r="D16" s="640" t="s">
        <v>650</v>
      </c>
      <c r="E16" s="620">
        <f>432+880+953</f>
        <v>2265</v>
      </c>
      <c r="F16" s="82">
        <v>1033</v>
      </c>
      <c r="G16" s="28">
        <v>1119</v>
      </c>
      <c r="H16" s="28">
        <v>493</v>
      </c>
      <c r="I16" s="25"/>
      <c r="J16" s="312">
        <f t="shared" si="0"/>
        <v>4910</v>
      </c>
      <c r="K16" s="697"/>
    </row>
    <row r="17" spans="1:11" ht="20.100000000000001" customHeight="1" x14ac:dyDescent="0.2">
      <c r="A17" s="627"/>
      <c r="B17" s="625" t="s">
        <v>666</v>
      </c>
      <c r="C17" s="623"/>
      <c r="D17" s="640"/>
      <c r="E17" s="620">
        <f>255+328+223</f>
        <v>806</v>
      </c>
      <c r="F17" s="82">
        <v>175</v>
      </c>
      <c r="G17" s="28">
        <v>89</v>
      </c>
      <c r="H17" s="28">
        <v>10</v>
      </c>
      <c r="I17" s="25"/>
      <c r="J17" s="312">
        <f>SUM(E17:I17)</f>
        <v>1080</v>
      </c>
      <c r="K17" s="697"/>
    </row>
    <row r="18" spans="1:11" ht="20.100000000000001" customHeight="1" x14ac:dyDescent="0.2">
      <c r="A18" s="627" t="s">
        <v>26</v>
      </c>
      <c r="B18" s="658" t="s">
        <v>741</v>
      </c>
      <c r="C18" s="623" t="s">
        <v>642</v>
      </c>
      <c r="D18" s="640" t="s">
        <v>651</v>
      </c>
      <c r="E18" s="620"/>
      <c r="F18" s="82">
        <v>740</v>
      </c>
      <c r="G18" s="28">
        <v>740</v>
      </c>
      <c r="H18" s="28">
        <v>740</v>
      </c>
      <c r="I18" s="25">
        <v>7778</v>
      </c>
      <c r="J18" s="312">
        <f t="shared" ref="J18:J20" si="1">SUM(E18:I18)</f>
        <v>9998</v>
      </c>
      <c r="K18" s="697"/>
    </row>
    <row r="19" spans="1:11" ht="24" customHeight="1" x14ac:dyDescent="0.2">
      <c r="A19" s="627" t="s">
        <v>27</v>
      </c>
      <c r="B19" s="658" t="s">
        <v>678</v>
      </c>
      <c r="C19" s="623" t="s">
        <v>680</v>
      </c>
      <c r="D19" s="640" t="s">
        <v>651</v>
      </c>
      <c r="E19" s="620"/>
      <c r="F19" s="82">
        <v>0</v>
      </c>
      <c r="G19" s="28">
        <v>800</v>
      </c>
      <c r="H19" s="28">
        <v>1600</v>
      </c>
      <c r="I19" s="25">
        <v>4100</v>
      </c>
      <c r="J19" s="312">
        <f t="shared" si="1"/>
        <v>6500</v>
      </c>
      <c r="K19" s="697"/>
    </row>
    <row r="20" spans="1:11" ht="27" customHeight="1" thickBot="1" x14ac:dyDescent="0.25">
      <c r="A20" s="628">
        <v>11</v>
      </c>
      <c r="B20" s="659" t="s">
        <v>679</v>
      </c>
      <c r="C20" s="624" t="s">
        <v>680</v>
      </c>
      <c r="D20" s="641" t="s">
        <v>651</v>
      </c>
      <c r="E20" s="621"/>
      <c r="F20" s="617">
        <v>0</v>
      </c>
      <c r="G20" s="618">
        <v>792</v>
      </c>
      <c r="H20" s="618">
        <v>1584</v>
      </c>
      <c r="I20" s="619">
        <v>7524</v>
      </c>
      <c r="J20" s="312">
        <f t="shared" si="1"/>
        <v>9900</v>
      </c>
      <c r="K20" s="697"/>
    </row>
    <row r="21" spans="1:11" ht="20.100000000000001" customHeight="1" thickBot="1" x14ac:dyDescent="0.25">
      <c r="A21" s="309" t="s">
        <v>29</v>
      </c>
      <c r="B21" s="310" t="s">
        <v>204</v>
      </c>
      <c r="C21" s="522"/>
      <c r="D21" s="630"/>
      <c r="E21" s="76">
        <f>+E22</f>
        <v>0</v>
      </c>
      <c r="F21" s="77">
        <f>+F22</f>
        <v>0</v>
      </c>
      <c r="G21" s="78">
        <f>+G22</f>
        <v>0</v>
      </c>
      <c r="H21" s="78">
        <f>+H22</f>
        <v>0</v>
      </c>
      <c r="I21" s="79">
        <f>+I22</f>
        <v>0</v>
      </c>
      <c r="J21" s="76">
        <f t="shared" si="0"/>
        <v>0</v>
      </c>
      <c r="K21" s="697"/>
    </row>
    <row r="22" spans="1:11" ht="20.100000000000001" customHeight="1" thickBot="1" x14ac:dyDescent="0.25">
      <c r="A22" s="311" t="s">
        <v>30</v>
      </c>
      <c r="B22" s="80" t="s">
        <v>71</v>
      </c>
      <c r="C22" s="521"/>
      <c r="D22" s="629"/>
      <c r="E22" s="81"/>
      <c r="F22" s="82"/>
      <c r="G22" s="28"/>
      <c r="H22" s="28"/>
      <c r="I22" s="25"/>
      <c r="J22" s="312">
        <f t="shared" si="0"/>
        <v>0</v>
      </c>
      <c r="K22" s="697"/>
    </row>
    <row r="23" spans="1:11" ht="20.100000000000001" customHeight="1" thickBot="1" x14ac:dyDescent="0.25">
      <c r="A23" s="309" t="s">
        <v>31</v>
      </c>
      <c r="B23" s="310" t="s">
        <v>205</v>
      </c>
      <c r="C23" s="522"/>
      <c r="D23" s="630"/>
      <c r="E23" s="76">
        <f>+E24</f>
        <v>0</v>
      </c>
      <c r="F23" s="77">
        <f>+F24</f>
        <v>0</v>
      </c>
      <c r="G23" s="78">
        <f>+G24</f>
        <v>0</v>
      </c>
      <c r="H23" s="78">
        <f>+H24</f>
        <v>0</v>
      </c>
      <c r="I23" s="79">
        <f>+I24</f>
        <v>0</v>
      </c>
      <c r="J23" s="76">
        <f t="shared" si="0"/>
        <v>0</v>
      </c>
      <c r="K23" s="697"/>
    </row>
    <row r="24" spans="1:11" ht="20.100000000000001" customHeight="1" thickBot="1" x14ac:dyDescent="0.25">
      <c r="A24" s="313" t="s">
        <v>32</v>
      </c>
      <c r="B24" s="83" t="s">
        <v>71</v>
      </c>
      <c r="C24" s="523"/>
      <c r="D24" s="632"/>
      <c r="E24" s="84"/>
      <c r="F24" s="85"/>
      <c r="G24" s="29"/>
      <c r="H24" s="29"/>
      <c r="I24" s="27"/>
      <c r="J24" s="314">
        <f t="shared" si="0"/>
        <v>0</v>
      </c>
      <c r="K24" s="697"/>
    </row>
    <row r="25" spans="1:11" ht="20.100000000000001" customHeight="1" thickBot="1" x14ac:dyDescent="0.25">
      <c r="A25" s="309" t="s">
        <v>33</v>
      </c>
      <c r="B25" s="315" t="s">
        <v>206</v>
      </c>
      <c r="C25" s="522"/>
      <c r="D25" s="630"/>
      <c r="E25" s="76">
        <f>+E26</f>
        <v>0</v>
      </c>
      <c r="F25" s="77">
        <f>+F26</f>
        <v>0</v>
      </c>
      <c r="G25" s="78">
        <f>+G26</f>
        <v>0</v>
      </c>
      <c r="H25" s="78">
        <f>+H26</f>
        <v>0</v>
      </c>
      <c r="I25" s="79">
        <f>+I26</f>
        <v>0</v>
      </c>
      <c r="J25" s="76">
        <f t="shared" si="0"/>
        <v>0</v>
      </c>
      <c r="K25" s="697"/>
    </row>
    <row r="26" spans="1:11" ht="20.100000000000001" customHeight="1" thickBot="1" x14ac:dyDescent="0.25">
      <c r="A26" s="316" t="s">
        <v>34</v>
      </c>
      <c r="B26" s="86" t="s">
        <v>71</v>
      </c>
      <c r="C26" s="524"/>
      <c r="D26" s="631"/>
      <c r="E26" s="87"/>
      <c r="F26" s="88"/>
      <c r="G26" s="89"/>
      <c r="H26" s="89"/>
      <c r="I26" s="26"/>
      <c r="J26" s="317">
        <f t="shared" si="0"/>
        <v>0</v>
      </c>
      <c r="K26" s="697"/>
    </row>
    <row r="27" spans="1:11" ht="20.100000000000001" customHeight="1" thickBot="1" x14ac:dyDescent="0.25">
      <c r="A27" s="699" t="s">
        <v>658</v>
      </c>
      <c r="B27" s="700"/>
      <c r="C27" s="146"/>
      <c r="D27" s="633"/>
      <c r="E27" s="76">
        <f t="shared" ref="E27:J27" si="2">+E6+E9+E21+E23+E25</f>
        <v>14308</v>
      </c>
      <c r="F27" s="77">
        <f t="shared" si="2"/>
        <v>6949</v>
      </c>
      <c r="G27" s="78">
        <f t="shared" si="2"/>
        <v>8397</v>
      </c>
      <c r="H27" s="78">
        <f t="shared" si="2"/>
        <v>9142</v>
      </c>
      <c r="I27" s="79">
        <f t="shared" si="2"/>
        <v>45527</v>
      </c>
      <c r="J27" s="76">
        <f t="shared" si="2"/>
        <v>84323</v>
      </c>
      <c r="K27" s="697"/>
    </row>
  </sheetData>
  <mergeCells count="10">
    <mergeCell ref="K7:K27"/>
    <mergeCell ref="A1:J1"/>
    <mergeCell ref="A27:B27"/>
    <mergeCell ref="J3:J4"/>
    <mergeCell ref="F3:I3"/>
    <mergeCell ref="A3:A4"/>
    <mergeCell ref="B3:B4"/>
    <mergeCell ref="C3:C4"/>
    <mergeCell ref="E3:E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7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zoomScaleNormal="100" workbookViewId="0">
      <selection activeCell="D19" sqref="D19"/>
    </sheetView>
  </sheetViews>
  <sheetFormatPr defaultRowHeight="12.75" x14ac:dyDescent="0.2"/>
  <cols>
    <col min="1" max="1" width="5.83203125" style="103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1" t="s">
        <v>671</v>
      </c>
      <c r="C1" s="711"/>
      <c r="D1" s="711"/>
    </row>
    <row r="2" spans="1:4" s="91" customFormat="1" ht="16.5" thickBot="1" x14ac:dyDescent="0.3">
      <c r="A2" s="90"/>
      <c r="B2" s="413"/>
      <c r="D2" s="49" t="s">
        <v>577</v>
      </c>
    </row>
    <row r="3" spans="1:4" s="93" customFormat="1" ht="48" customHeight="1" thickBot="1" x14ac:dyDescent="0.25">
      <c r="A3" s="92" t="s">
        <v>16</v>
      </c>
      <c r="B3" s="221" t="s">
        <v>17</v>
      </c>
      <c r="C3" s="221" t="s">
        <v>72</v>
      </c>
      <c r="D3" s="222" t="s">
        <v>73</v>
      </c>
    </row>
    <row r="4" spans="1:4" s="93" customFormat="1" ht="14.1" customHeight="1" thickBot="1" x14ac:dyDescent="0.25">
      <c r="A4" s="40" t="s">
        <v>495</v>
      </c>
      <c r="B4" s="224" t="s">
        <v>496</v>
      </c>
      <c r="C4" s="224" t="s">
        <v>497</v>
      </c>
      <c r="D4" s="225" t="s">
        <v>499</v>
      </c>
    </row>
    <row r="5" spans="1:4" ht="18" customHeight="1" x14ac:dyDescent="0.2">
      <c r="A5" s="159" t="s">
        <v>18</v>
      </c>
      <c r="B5" s="605" t="s">
        <v>164</v>
      </c>
      <c r="C5" s="606">
        <v>440300</v>
      </c>
      <c r="D5" s="607">
        <v>440300</v>
      </c>
    </row>
    <row r="6" spans="1:4" ht="18" customHeight="1" x14ac:dyDescent="0.2">
      <c r="A6" s="95" t="s">
        <v>19</v>
      </c>
      <c r="B6" s="226" t="s">
        <v>165</v>
      </c>
      <c r="C6" s="158"/>
      <c r="D6" s="97"/>
    </row>
    <row r="7" spans="1:4" ht="18" customHeight="1" x14ac:dyDescent="0.2">
      <c r="A7" s="95" t="s">
        <v>20</v>
      </c>
      <c r="B7" s="226" t="s">
        <v>121</v>
      </c>
      <c r="C7" s="158"/>
      <c r="D7" s="97"/>
    </row>
    <row r="8" spans="1:4" ht="18" customHeight="1" x14ac:dyDescent="0.2">
      <c r="A8" s="95" t="s">
        <v>21</v>
      </c>
      <c r="B8" s="226" t="s">
        <v>122</v>
      </c>
      <c r="C8" s="158"/>
      <c r="D8" s="97"/>
    </row>
    <row r="9" spans="1:4" ht="18" customHeight="1" x14ac:dyDescent="0.2">
      <c r="A9" s="95" t="s">
        <v>22</v>
      </c>
      <c r="B9" s="226" t="s">
        <v>160</v>
      </c>
      <c r="C9" s="158">
        <f>C11+C10+C18</f>
        <v>8980000</v>
      </c>
      <c r="D9" s="608">
        <f>D11+D10+D18</f>
        <v>4995000</v>
      </c>
    </row>
    <row r="10" spans="1:4" ht="18" customHeight="1" x14ac:dyDescent="0.2">
      <c r="A10" s="95" t="s">
        <v>23</v>
      </c>
      <c r="B10" s="226" t="s">
        <v>161</v>
      </c>
      <c r="C10" s="158"/>
      <c r="D10" s="97"/>
    </row>
    <row r="11" spans="1:4" ht="18" customHeight="1" x14ac:dyDescent="0.2">
      <c r="A11" s="95" t="s">
        <v>24</v>
      </c>
      <c r="B11" s="227" t="s">
        <v>162</v>
      </c>
      <c r="C11" s="158">
        <v>7980000</v>
      </c>
      <c r="D11" s="608">
        <v>3995000</v>
      </c>
    </row>
    <row r="12" spans="1:4" ht="27.75" customHeight="1" x14ac:dyDescent="0.2">
      <c r="A12" s="95" t="s">
        <v>26</v>
      </c>
      <c r="B12" s="227" t="s">
        <v>672</v>
      </c>
      <c r="C12" s="158">
        <v>3390000</v>
      </c>
      <c r="D12" s="97">
        <v>1695000</v>
      </c>
    </row>
    <row r="13" spans="1:4" ht="27" customHeight="1" x14ac:dyDescent="0.2">
      <c r="A13" s="95" t="s">
        <v>27</v>
      </c>
      <c r="B13" s="227" t="s">
        <v>673</v>
      </c>
      <c r="C13" s="158">
        <v>2010000</v>
      </c>
      <c r="D13" s="97">
        <v>1005000</v>
      </c>
    </row>
    <row r="14" spans="1:4" ht="28.5" customHeight="1" x14ac:dyDescent="0.2">
      <c r="A14" s="95" t="s">
        <v>28</v>
      </c>
      <c r="B14" s="227" t="s">
        <v>674</v>
      </c>
      <c r="C14" s="158">
        <v>1520000</v>
      </c>
      <c r="D14" s="97">
        <v>760000</v>
      </c>
    </row>
    <row r="15" spans="1:4" ht="28.5" customHeight="1" x14ac:dyDescent="0.2">
      <c r="A15" s="95"/>
      <c r="B15" s="227" t="s">
        <v>675</v>
      </c>
      <c r="C15" s="158">
        <v>10000</v>
      </c>
      <c r="D15" s="97">
        <v>10000</v>
      </c>
    </row>
    <row r="16" spans="1:4" ht="28.5" customHeight="1" x14ac:dyDescent="0.2">
      <c r="A16" s="95"/>
      <c r="B16" s="227" t="s">
        <v>676</v>
      </c>
      <c r="C16" s="158">
        <v>450000</v>
      </c>
      <c r="D16" s="97">
        <v>225000</v>
      </c>
    </row>
    <row r="17" spans="1:4" ht="28.5" customHeight="1" x14ac:dyDescent="0.2">
      <c r="A17" s="95"/>
      <c r="B17" s="227" t="s">
        <v>677</v>
      </c>
      <c r="C17" s="158">
        <v>600000</v>
      </c>
      <c r="D17" s="97">
        <v>300000</v>
      </c>
    </row>
    <row r="18" spans="1:4" ht="22.5" customHeight="1" x14ac:dyDescent="0.2">
      <c r="A18" s="95" t="s">
        <v>29</v>
      </c>
      <c r="B18" s="227" t="s">
        <v>163</v>
      </c>
      <c r="C18" s="158">
        <v>1000000</v>
      </c>
      <c r="D18" s="97">
        <v>1000000</v>
      </c>
    </row>
    <row r="19" spans="1:4" ht="18" customHeight="1" x14ac:dyDescent="0.2">
      <c r="A19" s="95" t="s">
        <v>30</v>
      </c>
      <c r="B19" s="226" t="s">
        <v>123</v>
      </c>
      <c r="C19" s="158"/>
      <c r="D19" s="97"/>
    </row>
    <row r="20" spans="1:4" ht="18" customHeight="1" x14ac:dyDescent="0.2">
      <c r="A20" s="95" t="s">
        <v>31</v>
      </c>
      <c r="B20" s="226" t="s">
        <v>8</v>
      </c>
      <c r="C20" s="158"/>
      <c r="D20" s="97"/>
    </row>
    <row r="21" spans="1:4" ht="18" customHeight="1" x14ac:dyDescent="0.2">
      <c r="A21" s="95" t="s">
        <v>32</v>
      </c>
      <c r="B21" s="226" t="s">
        <v>7</v>
      </c>
      <c r="C21" s="158"/>
      <c r="D21" s="97"/>
    </row>
    <row r="22" spans="1:4" ht="18" customHeight="1" x14ac:dyDescent="0.2">
      <c r="A22" s="95" t="s">
        <v>33</v>
      </c>
      <c r="B22" s="226" t="s">
        <v>124</v>
      </c>
      <c r="C22" s="158"/>
      <c r="D22" s="97"/>
    </row>
    <row r="23" spans="1:4" ht="18" customHeight="1" x14ac:dyDescent="0.2">
      <c r="A23" s="95" t="s">
        <v>34</v>
      </c>
      <c r="B23" s="226" t="s">
        <v>125</v>
      </c>
      <c r="C23" s="158"/>
      <c r="D23" s="97"/>
    </row>
    <row r="24" spans="1:4" ht="18" customHeight="1" x14ac:dyDescent="0.2">
      <c r="A24" s="95" t="s">
        <v>35</v>
      </c>
      <c r="B24" s="149"/>
      <c r="C24" s="96"/>
      <c r="D24" s="97"/>
    </row>
    <row r="25" spans="1:4" ht="18" customHeight="1" x14ac:dyDescent="0.2">
      <c r="A25" s="95" t="s">
        <v>36</v>
      </c>
      <c r="B25" s="98"/>
      <c r="C25" s="96"/>
      <c r="D25" s="97"/>
    </row>
    <row r="26" spans="1:4" ht="18" customHeight="1" x14ac:dyDescent="0.2">
      <c r="A26" s="95" t="s">
        <v>37</v>
      </c>
      <c r="B26" s="98"/>
      <c r="C26" s="96"/>
      <c r="D26" s="97"/>
    </row>
    <row r="27" spans="1:4" ht="18" customHeight="1" x14ac:dyDescent="0.2">
      <c r="A27" s="95" t="s">
        <v>38</v>
      </c>
      <c r="B27" s="98"/>
      <c r="C27" s="96"/>
      <c r="D27" s="97"/>
    </row>
    <row r="28" spans="1:4" ht="18" customHeight="1" x14ac:dyDescent="0.2">
      <c r="A28" s="95" t="s">
        <v>39</v>
      </c>
      <c r="B28" s="98"/>
      <c r="C28" s="96"/>
      <c r="D28" s="97"/>
    </row>
    <row r="29" spans="1:4" ht="18" customHeight="1" x14ac:dyDescent="0.2">
      <c r="A29" s="95" t="s">
        <v>40</v>
      </c>
      <c r="B29" s="98"/>
      <c r="C29" s="96"/>
      <c r="D29" s="97"/>
    </row>
    <row r="30" spans="1:4" ht="18" customHeight="1" x14ac:dyDescent="0.2">
      <c r="A30" s="95" t="s">
        <v>41</v>
      </c>
      <c r="B30" s="98"/>
      <c r="C30" s="96"/>
      <c r="D30" s="97"/>
    </row>
    <row r="31" spans="1:4" ht="18" customHeight="1" x14ac:dyDescent="0.2">
      <c r="A31" s="95" t="s">
        <v>42</v>
      </c>
      <c r="B31" s="98"/>
      <c r="C31" s="96"/>
      <c r="D31" s="97"/>
    </row>
    <row r="32" spans="1:4" ht="18" customHeight="1" thickBot="1" x14ac:dyDescent="0.25">
      <c r="A32" s="609" t="s">
        <v>43</v>
      </c>
      <c r="B32" s="99"/>
      <c r="C32" s="100"/>
      <c r="D32" s="101"/>
    </row>
    <row r="33" spans="1:4" ht="18" customHeight="1" thickBot="1" x14ac:dyDescent="0.25">
      <c r="A33" s="41" t="s">
        <v>44</v>
      </c>
      <c r="B33" s="231" t="s">
        <v>53</v>
      </c>
      <c r="C33" s="232">
        <f>+C5+C6+C7+C8+C9+C19+C20+C21+C22+C23+C24+C25+C26+C27+C28+C29+C30+C31+C32</f>
        <v>9420300</v>
      </c>
      <c r="D33" s="233">
        <f>+D5+D6+D7+D8+D9+D19+D20+D21+D22+D23+D24+D25+D26+D27+D28+D29+D30+D31+D32</f>
        <v>5435300</v>
      </c>
    </row>
    <row r="34" spans="1:4" ht="8.25" customHeight="1" x14ac:dyDescent="0.2">
      <c r="A34" s="102"/>
      <c r="B34" s="710"/>
      <c r="C34" s="710"/>
      <c r="D34" s="710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RowHeight="15.75" x14ac:dyDescent="0.25"/>
  <cols>
    <col min="1" max="1" width="4.83203125" style="121" customWidth="1"/>
    <col min="2" max="2" width="31.1640625" style="137" customWidth="1"/>
    <col min="3" max="3" width="11.1640625" style="137" customWidth="1"/>
    <col min="4" max="4" width="10.5" style="137" customWidth="1"/>
    <col min="5" max="5" width="10.83203125" style="137" customWidth="1"/>
    <col min="6" max="6" width="11.33203125" style="137" customWidth="1"/>
    <col min="7" max="7" width="11" style="137" customWidth="1"/>
    <col min="8" max="9" width="10.83203125" style="137" customWidth="1"/>
    <col min="10" max="10" width="11.33203125" style="137" customWidth="1"/>
    <col min="11" max="11" width="11.1640625" style="137" customWidth="1"/>
    <col min="12" max="12" width="11.5" style="137" customWidth="1"/>
    <col min="13" max="14" width="12" style="137" customWidth="1"/>
    <col min="15" max="15" width="12.6640625" style="121" customWidth="1"/>
    <col min="16" max="16384" width="9.33203125" style="137"/>
  </cols>
  <sheetData>
    <row r="1" spans="1:15" ht="31.5" customHeight="1" x14ac:dyDescent="0.25">
      <c r="A1" s="718" t="str">
        <f>+CONCATENATE("Előirányzat-felhasználási terv",CHAR(10),LEFT(ÖSSZEFÜGGÉSEK!A5,4),". évre")</f>
        <v>Előirányzat-felhasználási terv
2018. évre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</row>
    <row r="2" spans="1:15" ht="16.5" thickBot="1" x14ac:dyDescent="0.3">
      <c r="O2" s="4" t="s">
        <v>55</v>
      </c>
    </row>
    <row r="3" spans="1:15" s="121" customFormat="1" ht="26.1" customHeight="1" thickBot="1" x14ac:dyDescent="0.3">
      <c r="A3" s="118" t="s">
        <v>16</v>
      </c>
      <c r="B3" s="119" t="s">
        <v>62</v>
      </c>
      <c r="C3" s="119" t="s">
        <v>74</v>
      </c>
      <c r="D3" s="119" t="s">
        <v>75</v>
      </c>
      <c r="E3" s="119" t="s">
        <v>76</v>
      </c>
      <c r="F3" s="119" t="s">
        <v>77</v>
      </c>
      <c r="G3" s="119" t="s">
        <v>78</v>
      </c>
      <c r="H3" s="119" t="s">
        <v>79</v>
      </c>
      <c r="I3" s="119" t="s">
        <v>80</v>
      </c>
      <c r="J3" s="119" t="s">
        <v>81</v>
      </c>
      <c r="K3" s="119" t="s">
        <v>82</v>
      </c>
      <c r="L3" s="119" t="s">
        <v>83</v>
      </c>
      <c r="M3" s="119" t="s">
        <v>84</v>
      </c>
      <c r="N3" s="119" t="s">
        <v>85</v>
      </c>
      <c r="O3" s="120" t="s">
        <v>53</v>
      </c>
    </row>
    <row r="4" spans="1:15" s="123" customFormat="1" ht="15" customHeight="1" thickBot="1" x14ac:dyDescent="0.25">
      <c r="A4" s="590" t="s">
        <v>18</v>
      </c>
      <c r="B4" s="712" t="s">
        <v>56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4"/>
    </row>
    <row r="5" spans="1:15" s="123" customFormat="1" ht="22.5" x14ac:dyDescent="0.2">
      <c r="A5" s="590" t="s">
        <v>19</v>
      </c>
      <c r="B5" s="591" t="s">
        <v>376</v>
      </c>
      <c r="C5" s="594">
        <f>O5/12</f>
        <v>45077914.583333336</v>
      </c>
      <c r="D5" s="592">
        <f t="shared" ref="D5:N5" si="0">$O$5/12</f>
        <v>45077914.583333336</v>
      </c>
      <c r="E5" s="592">
        <f t="shared" si="0"/>
        <v>45077914.583333336</v>
      </c>
      <c r="F5" s="592">
        <f t="shared" si="0"/>
        <v>45077914.583333336</v>
      </c>
      <c r="G5" s="592">
        <f t="shared" si="0"/>
        <v>45077914.583333336</v>
      </c>
      <c r="H5" s="592">
        <f t="shared" si="0"/>
        <v>45077914.583333336</v>
      </c>
      <c r="I5" s="592">
        <f t="shared" si="0"/>
        <v>45077914.583333336</v>
      </c>
      <c r="J5" s="592">
        <f t="shared" si="0"/>
        <v>45077914.583333336</v>
      </c>
      <c r="K5" s="592">
        <f t="shared" si="0"/>
        <v>45077914.583333336</v>
      </c>
      <c r="L5" s="592">
        <f t="shared" si="0"/>
        <v>45077914.583333336</v>
      </c>
      <c r="M5" s="592">
        <f t="shared" si="0"/>
        <v>45077914.583333336</v>
      </c>
      <c r="N5" s="592">
        <f t="shared" si="0"/>
        <v>45077914.583333336</v>
      </c>
      <c r="O5" s="593">
        <f>'9.1. sz. mell ÖNK'!C8</f>
        <v>540934975</v>
      </c>
    </row>
    <row r="6" spans="1:15" s="128" customFormat="1" ht="22.5" x14ac:dyDescent="0.2">
      <c r="A6" s="125" t="s">
        <v>20</v>
      </c>
      <c r="B6" s="320" t="s">
        <v>422</v>
      </c>
      <c r="C6" s="126">
        <f t="shared" ref="C6:C13" si="1">O6/12</f>
        <v>23553428.25</v>
      </c>
      <c r="D6" s="126">
        <f>$O$6/12</f>
        <v>23553428.25</v>
      </c>
      <c r="E6" s="126">
        <f t="shared" ref="E6:N6" si="2">$O$6/12</f>
        <v>23553428.25</v>
      </c>
      <c r="F6" s="126">
        <f t="shared" si="2"/>
        <v>23553428.25</v>
      </c>
      <c r="G6" s="126">
        <f t="shared" si="2"/>
        <v>23553428.25</v>
      </c>
      <c r="H6" s="126">
        <f t="shared" si="2"/>
        <v>23553428.25</v>
      </c>
      <c r="I6" s="126">
        <f t="shared" si="2"/>
        <v>23553428.25</v>
      </c>
      <c r="J6" s="126">
        <f t="shared" si="2"/>
        <v>23553428.25</v>
      </c>
      <c r="K6" s="126">
        <f t="shared" si="2"/>
        <v>23553428.25</v>
      </c>
      <c r="L6" s="126">
        <f t="shared" si="2"/>
        <v>23553428.25</v>
      </c>
      <c r="M6" s="126">
        <f t="shared" si="2"/>
        <v>23553428.25</v>
      </c>
      <c r="N6" s="126">
        <f t="shared" si="2"/>
        <v>23553428.25</v>
      </c>
      <c r="O6" s="127">
        <f>'9.1. sz. mell ÖNK'!C15</f>
        <v>282641139</v>
      </c>
    </row>
    <row r="7" spans="1:15" s="128" customFormat="1" ht="22.5" x14ac:dyDescent="0.2">
      <c r="A7" s="125" t="s">
        <v>21</v>
      </c>
      <c r="B7" s="319" t="s">
        <v>423</v>
      </c>
      <c r="C7" s="126">
        <f t="shared" si="1"/>
        <v>26640066.416666668</v>
      </c>
      <c r="D7" s="129">
        <f>$O$7/12</f>
        <v>26640066.416666668</v>
      </c>
      <c r="E7" s="129">
        <f t="shared" ref="E7:N7" si="3">$O$7/12</f>
        <v>26640066.416666668</v>
      </c>
      <c r="F7" s="129">
        <f t="shared" si="3"/>
        <v>26640066.416666668</v>
      </c>
      <c r="G7" s="129">
        <f t="shared" si="3"/>
        <v>26640066.416666668</v>
      </c>
      <c r="H7" s="129">
        <f t="shared" si="3"/>
        <v>26640066.416666668</v>
      </c>
      <c r="I7" s="129">
        <f t="shared" si="3"/>
        <v>26640066.416666668</v>
      </c>
      <c r="J7" s="129">
        <f t="shared" si="3"/>
        <v>26640066.416666668</v>
      </c>
      <c r="K7" s="129">
        <f t="shared" si="3"/>
        <v>26640066.416666668</v>
      </c>
      <c r="L7" s="129">
        <f t="shared" si="3"/>
        <v>26640066.416666668</v>
      </c>
      <c r="M7" s="129">
        <f t="shared" si="3"/>
        <v>26640066.416666668</v>
      </c>
      <c r="N7" s="129">
        <f t="shared" si="3"/>
        <v>26640066.416666668</v>
      </c>
      <c r="O7" s="127">
        <f>'9.1. sz. mell ÖNK'!C22</f>
        <v>319680797</v>
      </c>
    </row>
    <row r="8" spans="1:15" s="128" customFormat="1" ht="14.1" customHeight="1" x14ac:dyDescent="0.2">
      <c r="A8" s="125" t="s">
        <v>22</v>
      </c>
      <c r="B8" s="318" t="s">
        <v>171</v>
      </c>
      <c r="C8" s="126">
        <f t="shared" si="1"/>
        <v>9035416.666666666</v>
      </c>
      <c r="D8" s="126">
        <f>$O$8/12</f>
        <v>9035416.666666666</v>
      </c>
      <c r="E8" s="126">
        <f t="shared" ref="E8:N8" si="4">$O$8/12</f>
        <v>9035416.666666666</v>
      </c>
      <c r="F8" s="126">
        <f t="shared" si="4"/>
        <v>9035416.666666666</v>
      </c>
      <c r="G8" s="126">
        <f t="shared" si="4"/>
        <v>9035416.666666666</v>
      </c>
      <c r="H8" s="126">
        <f t="shared" si="4"/>
        <v>9035416.666666666</v>
      </c>
      <c r="I8" s="126">
        <f t="shared" si="4"/>
        <v>9035416.666666666</v>
      </c>
      <c r="J8" s="126">
        <f t="shared" si="4"/>
        <v>9035416.666666666</v>
      </c>
      <c r="K8" s="126">
        <f t="shared" si="4"/>
        <v>9035416.666666666</v>
      </c>
      <c r="L8" s="126">
        <f t="shared" si="4"/>
        <v>9035416.666666666</v>
      </c>
      <c r="M8" s="126">
        <f t="shared" si="4"/>
        <v>9035416.666666666</v>
      </c>
      <c r="N8" s="126">
        <f t="shared" si="4"/>
        <v>9035416.666666666</v>
      </c>
      <c r="O8" s="127">
        <f>'9.1. sz. mell ÖNK'!C29</f>
        <v>108425000</v>
      </c>
    </row>
    <row r="9" spans="1:15" s="128" customFormat="1" ht="14.1" customHeight="1" x14ac:dyDescent="0.2">
      <c r="A9" s="125" t="s">
        <v>23</v>
      </c>
      <c r="B9" s="318" t="s">
        <v>424</v>
      </c>
      <c r="C9" s="126">
        <f t="shared" si="1"/>
        <v>2714746.1666666665</v>
      </c>
      <c r="D9" s="126">
        <f>$O$9/12</f>
        <v>2714746.1666666665</v>
      </c>
      <c r="E9" s="126">
        <f t="shared" ref="E9:N9" si="5">$O$9/12</f>
        <v>2714746.1666666665</v>
      </c>
      <c r="F9" s="126">
        <f t="shared" si="5"/>
        <v>2714746.1666666665</v>
      </c>
      <c r="G9" s="126">
        <f t="shared" si="5"/>
        <v>2714746.1666666665</v>
      </c>
      <c r="H9" s="126">
        <f t="shared" si="5"/>
        <v>2714746.1666666665</v>
      </c>
      <c r="I9" s="126">
        <f t="shared" si="5"/>
        <v>2714746.1666666665</v>
      </c>
      <c r="J9" s="126">
        <f t="shared" si="5"/>
        <v>2714746.1666666665</v>
      </c>
      <c r="K9" s="126">
        <f t="shared" si="5"/>
        <v>2714746.1666666665</v>
      </c>
      <c r="L9" s="126">
        <f t="shared" si="5"/>
        <v>2714746.1666666665</v>
      </c>
      <c r="M9" s="126">
        <f t="shared" si="5"/>
        <v>2714746.1666666665</v>
      </c>
      <c r="N9" s="126">
        <f t="shared" si="5"/>
        <v>2714746.1666666665</v>
      </c>
      <c r="O9" s="127">
        <f>'9.1. sz. mell ÖNK'!C38</f>
        <v>32576954</v>
      </c>
    </row>
    <row r="10" spans="1:15" s="128" customFormat="1" ht="14.1" customHeight="1" x14ac:dyDescent="0.2">
      <c r="A10" s="125" t="s">
        <v>24</v>
      </c>
      <c r="B10" s="318" t="s">
        <v>9</v>
      </c>
      <c r="C10" s="126">
        <f t="shared" si="1"/>
        <v>5886933.166666667</v>
      </c>
      <c r="D10" s="126">
        <f>$O$10/12</f>
        <v>5886933.166666667</v>
      </c>
      <c r="E10" s="126">
        <f t="shared" ref="E10:N10" si="6">$O$10/12</f>
        <v>5886933.166666667</v>
      </c>
      <c r="F10" s="126">
        <f t="shared" si="6"/>
        <v>5886933.166666667</v>
      </c>
      <c r="G10" s="126">
        <f t="shared" si="6"/>
        <v>5886933.166666667</v>
      </c>
      <c r="H10" s="126">
        <f t="shared" si="6"/>
        <v>5886933.166666667</v>
      </c>
      <c r="I10" s="126">
        <f t="shared" si="6"/>
        <v>5886933.166666667</v>
      </c>
      <c r="J10" s="126">
        <f t="shared" si="6"/>
        <v>5886933.166666667</v>
      </c>
      <c r="K10" s="126">
        <f t="shared" si="6"/>
        <v>5886933.166666667</v>
      </c>
      <c r="L10" s="126">
        <f t="shared" si="6"/>
        <v>5886933.166666667</v>
      </c>
      <c r="M10" s="126">
        <f t="shared" si="6"/>
        <v>5886933.166666667</v>
      </c>
      <c r="N10" s="126">
        <f t="shared" si="6"/>
        <v>5886933.166666667</v>
      </c>
      <c r="O10" s="127">
        <f>'9.1. sz. mell ÖNK'!C50</f>
        <v>70643198</v>
      </c>
    </row>
    <row r="11" spans="1:15" s="128" customFormat="1" ht="14.1" customHeight="1" x14ac:dyDescent="0.2">
      <c r="A11" s="125" t="s">
        <v>25</v>
      </c>
      <c r="B11" s="318" t="s">
        <v>378</v>
      </c>
      <c r="C11" s="126">
        <f t="shared" si="1"/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>'9.1. sz. mell ÖNK'!C56</f>
        <v>0</v>
      </c>
    </row>
    <row r="12" spans="1:15" s="128" customFormat="1" ht="22.5" x14ac:dyDescent="0.2">
      <c r="A12" s="125" t="s">
        <v>26</v>
      </c>
      <c r="B12" s="320" t="s">
        <v>410</v>
      </c>
      <c r="C12" s="129">
        <f t="shared" si="1"/>
        <v>150833.33333333334</v>
      </c>
      <c r="D12" s="126">
        <f>$O$12/12</f>
        <v>150833.33333333334</v>
      </c>
      <c r="E12" s="126">
        <f t="shared" ref="E12:N12" si="7">$O$12/12</f>
        <v>150833.33333333334</v>
      </c>
      <c r="F12" s="126">
        <f t="shared" si="7"/>
        <v>150833.33333333334</v>
      </c>
      <c r="G12" s="126">
        <f t="shared" si="7"/>
        <v>150833.33333333334</v>
      </c>
      <c r="H12" s="126">
        <f t="shared" si="7"/>
        <v>150833.33333333334</v>
      </c>
      <c r="I12" s="126">
        <f t="shared" si="7"/>
        <v>150833.33333333334</v>
      </c>
      <c r="J12" s="126">
        <f t="shared" si="7"/>
        <v>150833.33333333334</v>
      </c>
      <c r="K12" s="126">
        <f t="shared" si="7"/>
        <v>150833.33333333334</v>
      </c>
      <c r="L12" s="126">
        <f t="shared" si="7"/>
        <v>150833.33333333334</v>
      </c>
      <c r="M12" s="126">
        <f t="shared" si="7"/>
        <v>150833.33333333334</v>
      </c>
      <c r="N12" s="126">
        <f t="shared" si="7"/>
        <v>150833.33333333334</v>
      </c>
      <c r="O12" s="127">
        <f>'9.1. sz. mell ÖNK'!C61</f>
        <v>1810000</v>
      </c>
    </row>
    <row r="13" spans="1:15" s="128" customFormat="1" ht="14.1" customHeight="1" thickBot="1" x14ac:dyDescent="0.25">
      <c r="A13" s="595" t="s">
        <v>27</v>
      </c>
      <c r="B13" s="596" t="s">
        <v>10</v>
      </c>
      <c r="C13" s="124">
        <f t="shared" si="1"/>
        <v>57995624.333333336</v>
      </c>
      <c r="D13" s="597">
        <f>$O$13/12</f>
        <v>57995624.333333336</v>
      </c>
      <c r="E13" s="597">
        <f t="shared" ref="E13:N13" si="8">$O$13/12</f>
        <v>57995624.333333336</v>
      </c>
      <c r="F13" s="597">
        <f t="shared" si="8"/>
        <v>57995624.333333336</v>
      </c>
      <c r="G13" s="597">
        <f t="shared" si="8"/>
        <v>57995624.333333336</v>
      </c>
      <c r="H13" s="597">
        <f t="shared" si="8"/>
        <v>57995624.333333336</v>
      </c>
      <c r="I13" s="597">
        <f t="shared" si="8"/>
        <v>57995624.333333336</v>
      </c>
      <c r="J13" s="597">
        <f t="shared" si="8"/>
        <v>57995624.333333336</v>
      </c>
      <c r="K13" s="597">
        <f t="shared" si="8"/>
        <v>57995624.333333336</v>
      </c>
      <c r="L13" s="597">
        <f t="shared" si="8"/>
        <v>57995624.333333336</v>
      </c>
      <c r="M13" s="597">
        <f t="shared" si="8"/>
        <v>57995624.333333336</v>
      </c>
      <c r="N13" s="597">
        <f t="shared" si="8"/>
        <v>57995624.333333336</v>
      </c>
      <c r="O13" s="598">
        <f>'9.1. sz. mell ÖNK'!C90</f>
        <v>695947492</v>
      </c>
    </row>
    <row r="14" spans="1:15" s="123" customFormat="1" ht="15.95" customHeight="1" thickBot="1" x14ac:dyDescent="0.25">
      <c r="A14" s="122" t="s">
        <v>28</v>
      </c>
      <c r="B14" s="42" t="s">
        <v>110</v>
      </c>
      <c r="C14" s="131">
        <f t="shared" ref="C14:N14" si="9">SUM(C5:C13)</f>
        <v>171054962.91666669</v>
      </c>
      <c r="D14" s="131">
        <f t="shared" si="9"/>
        <v>171054962.91666669</v>
      </c>
      <c r="E14" s="131">
        <f t="shared" si="9"/>
        <v>171054962.91666669</v>
      </c>
      <c r="F14" s="131">
        <f t="shared" si="9"/>
        <v>171054962.91666669</v>
      </c>
      <c r="G14" s="131">
        <f t="shared" si="9"/>
        <v>171054962.91666669</v>
      </c>
      <c r="H14" s="131">
        <f t="shared" si="9"/>
        <v>171054962.91666669</v>
      </c>
      <c r="I14" s="131">
        <f t="shared" si="9"/>
        <v>171054962.91666669</v>
      </c>
      <c r="J14" s="131">
        <f t="shared" si="9"/>
        <v>171054962.91666669</v>
      </c>
      <c r="K14" s="131">
        <f t="shared" si="9"/>
        <v>171054962.91666669</v>
      </c>
      <c r="L14" s="131">
        <f t="shared" si="9"/>
        <v>171054962.91666669</v>
      </c>
      <c r="M14" s="131">
        <f t="shared" si="9"/>
        <v>171054962.91666669</v>
      </c>
      <c r="N14" s="131">
        <f t="shared" si="9"/>
        <v>171054962.91666669</v>
      </c>
      <c r="O14" s="132">
        <f>SUM(C14:N14)</f>
        <v>2052659555.0000007</v>
      </c>
    </row>
    <row r="15" spans="1:15" s="123" customFormat="1" ht="15" customHeight="1" thickBot="1" x14ac:dyDescent="0.25">
      <c r="A15" s="122" t="s">
        <v>29</v>
      </c>
      <c r="B15" s="715" t="s">
        <v>57</v>
      </c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  <c r="O15" s="717"/>
    </row>
    <row r="16" spans="1:15" s="128" customFormat="1" ht="14.1" customHeight="1" x14ac:dyDescent="0.2">
      <c r="A16" s="133" t="s">
        <v>30</v>
      </c>
      <c r="B16" s="321" t="s">
        <v>63</v>
      </c>
      <c r="C16" s="129">
        <f>O16/12</f>
        <v>18215404.25</v>
      </c>
      <c r="D16" s="129">
        <f>$O$16/12</f>
        <v>18215404.25</v>
      </c>
      <c r="E16" s="129">
        <f t="shared" ref="E16:N16" si="10">$O$16/12</f>
        <v>18215404.25</v>
      </c>
      <c r="F16" s="129">
        <f t="shared" si="10"/>
        <v>18215404.25</v>
      </c>
      <c r="G16" s="129">
        <f t="shared" si="10"/>
        <v>18215404.25</v>
      </c>
      <c r="H16" s="129">
        <f t="shared" si="10"/>
        <v>18215404.25</v>
      </c>
      <c r="I16" s="129">
        <f t="shared" si="10"/>
        <v>18215404.25</v>
      </c>
      <c r="J16" s="129">
        <f t="shared" si="10"/>
        <v>18215404.25</v>
      </c>
      <c r="K16" s="129">
        <f t="shared" si="10"/>
        <v>18215404.25</v>
      </c>
      <c r="L16" s="129">
        <f t="shared" si="10"/>
        <v>18215404.25</v>
      </c>
      <c r="M16" s="129">
        <f t="shared" si="10"/>
        <v>18215404.25</v>
      </c>
      <c r="N16" s="129">
        <f t="shared" si="10"/>
        <v>18215404.25</v>
      </c>
      <c r="O16" s="593">
        <f>'9.1. sz. mell ÖNK'!C95</f>
        <v>218584851</v>
      </c>
    </row>
    <row r="17" spans="1:15" s="128" customFormat="1" ht="27" customHeight="1" x14ac:dyDescent="0.2">
      <c r="A17" s="125" t="s">
        <v>31</v>
      </c>
      <c r="B17" s="320" t="s">
        <v>180</v>
      </c>
      <c r="C17" s="129">
        <f t="shared" ref="C17:C24" si="11">O17/12</f>
        <v>2344034.75</v>
      </c>
      <c r="D17" s="126">
        <f>$O$17/12</f>
        <v>2344034.75</v>
      </c>
      <c r="E17" s="126">
        <f t="shared" ref="E17:M17" si="12">$O$17/12</f>
        <v>2344034.75</v>
      </c>
      <c r="F17" s="126">
        <f t="shared" si="12"/>
        <v>2344034.75</v>
      </c>
      <c r="G17" s="126">
        <f t="shared" si="12"/>
        <v>2344034.75</v>
      </c>
      <c r="H17" s="126">
        <f t="shared" si="12"/>
        <v>2344034.75</v>
      </c>
      <c r="I17" s="126">
        <f t="shared" si="12"/>
        <v>2344034.75</v>
      </c>
      <c r="J17" s="126">
        <f t="shared" si="12"/>
        <v>2344034.75</v>
      </c>
      <c r="K17" s="126">
        <f t="shared" si="12"/>
        <v>2344034.75</v>
      </c>
      <c r="L17" s="126">
        <f t="shared" si="12"/>
        <v>2344034.75</v>
      </c>
      <c r="M17" s="126">
        <f t="shared" si="12"/>
        <v>2344034.75</v>
      </c>
      <c r="N17" s="126">
        <f>$O$17/12</f>
        <v>2344034.75</v>
      </c>
      <c r="O17" s="127">
        <f>'9.1. sz. mell ÖNK'!C96</f>
        <v>28128417</v>
      </c>
    </row>
    <row r="18" spans="1:15" s="128" customFormat="1" ht="14.1" customHeight="1" x14ac:dyDescent="0.2">
      <c r="A18" s="125" t="s">
        <v>32</v>
      </c>
      <c r="B18" s="318" t="s">
        <v>141</v>
      </c>
      <c r="C18" s="129">
        <f t="shared" si="11"/>
        <v>25365679.916666668</v>
      </c>
      <c r="D18" s="126">
        <f>$O$18/12</f>
        <v>25365679.916666668</v>
      </c>
      <c r="E18" s="126">
        <f t="shared" ref="E18:N18" si="13">$O$18/12</f>
        <v>25365679.916666668</v>
      </c>
      <c r="F18" s="126">
        <f t="shared" si="13"/>
        <v>25365679.916666668</v>
      </c>
      <c r="G18" s="126">
        <f t="shared" si="13"/>
        <v>25365679.916666668</v>
      </c>
      <c r="H18" s="126">
        <f t="shared" si="13"/>
        <v>25365679.916666668</v>
      </c>
      <c r="I18" s="126">
        <f t="shared" si="13"/>
        <v>25365679.916666668</v>
      </c>
      <c r="J18" s="126">
        <f t="shared" si="13"/>
        <v>25365679.916666668</v>
      </c>
      <c r="K18" s="126">
        <f t="shared" si="13"/>
        <v>25365679.916666668</v>
      </c>
      <c r="L18" s="126">
        <f t="shared" si="13"/>
        <v>25365679.916666668</v>
      </c>
      <c r="M18" s="126">
        <f t="shared" si="13"/>
        <v>25365679.916666668</v>
      </c>
      <c r="N18" s="126">
        <f t="shared" si="13"/>
        <v>25365679.916666668</v>
      </c>
      <c r="O18" s="127">
        <f>'9.1. sz. mell ÖNK'!C97</f>
        <v>304388159</v>
      </c>
    </row>
    <row r="19" spans="1:15" s="128" customFormat="1" ht="14.1" customHeight="1" x14ac:dyDescent="0.2">
      <c r="A19" s="125" t="s">
        <v>33</v>
      </c>
      <c r="B19" s="318" t="s">
        <v>181</v>
      </c>
      <c r="C19" s="129">
        <f t="shared" si="11"/>
        <v>1829166.6666666667</v>
      </c>
      <c r="D19" s="126">
        <f>$O$19/12</f>
        <v>1829166.6666666667</v>
      </c>
      <c r="E19" s="126">
        <f t="shared" ref="E19:N19" si="14">$O$19/12</f>
        <v>1829166.6666666667</v>
      </c>
      <c r="F19" s="126">
        <f t="shared" si="14"/>
        <v>1829166.6666666667</v>
      </c>
      <c r="G19" s="126">
        <f t="shared" si="14"/>
        <v>1829166.6666666667</v>
      </c>
      <c r="H19" s="126">
        <f t="shared" si="14"/>
        <v>1829166.6666666667</v>
      </c>
      <c r="I19" s="126">
        <f t="shared" si="14"/>
        <v>1829166.6666666667</v>
      </c>
      <c r="J19" s="126">
        <f t="shared" si="14"/>
        <v>1829166.6666666667</v>
      </c>
      <c r="K19" s="126">
        <f t="shared" si="14"/>
        <v>1829166.6666666667</v>
      </c>
      <c r="L19" s="126">
        <f t="shared" si="14"/>
        <v>1829166.6666666667</v>
      </c>
      <c r="M19" s="126">
        <f t="shared" si="14"/>
        <v>1829166.6666666667</v>
      </c>
      <c r="N19" s="126">
        <f t="shared" si="14"/>
        <v>1829166.6666666667</v>
      </c>
      <c r="O19" s="127">
        <f>'9.1. sz. mell ÖNK'!C99</f>
        <v>21950000</v>
      </c>
    </row>
    <row r="20" spans="1:15" s="128" customFormat="1" ht="14.1" customHeight="1" x14ac:dyDescent="0.2">
      <c r="A20" s="125" t="s">
        <v>34</v>
      </c>
      <c r="B20" s="318" t="s">
        <v>11</v>
      </c>
      <c r="C20" s="129">
        <f t="shared" si="11"/>
        <v>2219166.6666666665</v>
      </c>
      <c r="D20" s="126">
        <f>$O$20/12</f>
        <v>2219166.6666666665</v>
      </c>
      <c r="E20" s="126">
        <f t="shared" ref="E20:N20" si="15">$O$20/12</f>
        <v>2219166.6666666665</v>
      </c>
      <c r="F20" s="126">
        <f t="shared" si="15"/>
        <v>2219166.6666666665</v>
      </c>
      <c r="G20" s="126">
        <f t="shared" si="15"/>
        <v>2219166.6666666665</v>
      </c>
      <c r="H20" s="126">
        <f t="shared" si="15"/>
        <v>2219166.6666666665</v>
      </c>
      <c r="I20" s="126">
        <f t="shared" si="15"/>
        <v>2219166.6666666665</v>
      </c>
      <c r="J20" s="126">
        <f t="shared" si="15"/>
        <v>2219166.6666666665</v>
      </c>
      <c r="K20" s="126">
        <f t="shared" si="15"/>
        <v>2219166.6666666665</v>
      </c>
      <c r="L20" s="126">
        <f t="shared" si="15"/>
        <v>2219166.6666666665</v>
      </c>
      <c r="M20" s="126">
        <f t="shared" si="15"/>
        <v>2219166.6666666665</v>
      </c>
      <c r="N20" s="126">
        <f t="shared" si="15"/>
        <v>2219166.6666666665</v>
      </c>
      <c r="O20" s="130">
        <f>'9.1. sz. mell ÖNK'!C100</f>
        <v>26630000</v>
      </c>
    </row>
    <row r="21" spans="1:15" s="128" customFormat="1" ht="14.1" customHeight="1" x14ac:dyDescent="0.2">
      <c r="A21" s="125" t="s">
        <v>35</v>
      </c>
      <c r="B21" s="318" t="s">
        <v>225</v>
      </c>
      <c r="C21" s="129">
        <f t="shared" si="11"/>
        <v>70040846.5</v>
      </c>
      <c r="D21" s="126">
        <f>$O$21/12</f>
        <v>70040846.5</v>
      </c>
      <c r="E21" s="126">
        <f t="shared" ref="E21:N21" si="16">$O$21/12</f>
        <v>70040846.5</v>
      </c>
      <c r="F21" s="126">
        <f t="shared" si="16"/>
        <v>70040846.5</v>
      </c>
      <c r="G21" s="126">
        <f t="shared" si="16"/>
        <v>70040846.5</v>
      </c>
      <c r="H21" s="126">
        <f t="shared" si="16"/>
        <v>70040846.5</v>
      </c>
      <c r="I21" s="126">
        <f t="shared" si="16"/>
        <v>70040846.5</v>
      </c>
      <c r="J21" s="126">
        <f t="shared" si="16"/>
        <v>70040846.5</v>
      </c>
      <c r="K21" s="126">
        <f t="shared" si="16"/>
        <v>70040846.5</v>
      </c>
      <c r="L21" s="126">
        <f t="shared" si="16"/>
        <v>70040846.5</v>
      </c>
      <c r="M21" s="126">
        <f t="shared" si="16"/>
        <v>70040846.5</v>
      </c>
      <c r="N21" s="126">
        <f t="shared" si="16"/>
        <v>70040846.5</v>
      </c>
      <c r="O21" s="130">
        <f>'9.1. sz. mell ÖNK'!C117</f>
        <v>840490158</v>
      </c>
    </row>
    <row r="22" spans="1:15" s="128" customFormat="1" x14ac:dyDescent="0.2">
      <c r="A22" s="125" t="s">
        <v>36</v>
      </c>
      <c r="B22" s="320" t="s">
        <v>184</v>
      </c>
      <c r="C22" s="129">
        <f t="shared" si="11"/>
        <v>875770.83333333337</v>
      </c>
      <c r="D22" s="126">
        <f>$O$22/12</f>
        <v>875770.83333333337</v>
      </c>
      <c r="E22" s="126">
        <f t="shared" ref="E22:N22" si="17">$O$22/12</f>
        <v>875770.83333333337</v>
      </c>
      <c r="F22" s="126">
        <f t="shared" si="17"/>
        <v>875770.83333333337</v>
      </c>
      <c r="G22" s="126">
        <f t="shared" si="17"/>
        <v>875770.83333333337</v>
      </c>
      <c r="H22" s="126">
        <f t="shared" si="17"/>
        <v>875770.83333333337</v>
      </c>
      <c r="I22" s="126">
        <f t="shared" si="17"/>
        <v>875770.83333333337</v>
      </c>
      <c r="J22" s="126">
        <f t="shared" si="17"/>
        <v>875770.83333333337</v>
      </c>
      <c r="K22" s="126">
        <f t="shared" si="17"/>
        <v>875770.83333333337</v>
      </c>
      <c r="L22" s="126">
        <f t="shared" si="17"/>
        <v>875770.83333333337</v>
      </c>
      <c r="M22" s="126">
        <f t="shared" si="17"/>
        <v>875770.83333333337</v>
      </c>
      <c r="N22" s="126">
        <f t="shared" si="17"/>
        <v>875770.83333333337</v>
      </c>
      <c r="O22" s="130">
        <f>'9.1. sz. mell ÖNK'!C119</f>
        <v>10509250</v>
      </c>
    </row>
    <row r="23" spans="1:15" s="128" customFormat="1" ht="14.1" customHeight="1" x14ac:dyDescent="0.2">
      <c r="A23" s="125" t="s">
        <v>37</v>
      </c>
      <c r="B23" s="318" t="s">
        <v>228</v>
      </c>
      <c r="C23" s="129">
        <f t="shared" si="11"/>
        <v>339087.41666666669</v>
      </c>
      <c r="D23" s="126">
        <f>$O$23/12</f>
        <v>339087.41666666669</v>
      </c>
      <c r="E23" s="126">
        <f t="shared" ref="E23:N23" si="18">$O$23/12</f>
        <v>339087.41666666669</v>
      </c>
      <c r="F23" s="126">
        <f t="shared" si="18"/>
        <v>339087.41666666669</v>
      </c>
      <c r="G23" s="126">
        <f t="shared" si="18"/>
        <v>339087.41666666669</v>
      </c>
      <c r="H23" s="126">
        <f t="shared" si="18"/>
        <v>339087.41666666669</v>
      </c>
      <c r="I23" s="126">
        <f t="shared" si="18"/>
        <v>339087.41666666669</v>
      </c>
      <c r="J23" s="126">
        <f t="shared" si="18"/>
        <v>339087.41666666669</v>
      </c>
      <c r="K23" s="126">
        <f t="shared" si="18"/>
        <v>339087.41666666669</v>
      </c>
      <c r="L23" s="126">
        <f t="shared" si="18"/>
        <v>339087.41666666669</v>
      </c>
      <c r="M23" s="126">
        <f t="shared" si="18"/>
        <v>339087.41666666669</v>
      </c>
      <c r="N23" s="126">
        <f t="shared" si="18"/>
        <v>339087.41666666669</v>
      </c>
      <c r="O23" s="130">
        <f>'9.1. sz. mell ÖNK'!C121</f>
        <v>4069049</v>
      </c>
    </row>
    <row r="24" spans="1:15" s="128" customFormat="1" ht="14.1" customHeight="1" thickBot="1" x14ac:dyDescent="0.25">
      <c r="A24" s="125" t="s">
        <v>38</v>
      </c>
      <c r="B24" s="318" t="s">
        <v>12</v>
      </c>
      <c r="C24" s="129">
        <f t="shared" si="11"/>
        <v>43948840</v>
      </c>
      <c r="D24" s="126">
        <f>$O$24/12</f>
        <v>43948840</v>
      </c>
      <c r="E24" s="126">
        <f t="shared" ref="E24:N24" si="19">$O$24/12</f>
        <v>43948840</v>
      </c>
      <c r="F24" s="126">
        <f t="shared" si="19"/>
        <v>43948840</v>
      </c>
      <c r="G24" s="126">
        <f t="shared" si="19"/>
        <v>43948840</v>
      </c>
      <c r="H24" s="126">
        <f t="shared" si="19"/>
        <v>43948840</v>
      </c>
      <c r="I24" s="126">
        <f t="shared" si="19"/>
        <v>43948840</v>
      </c>
      <c r="J24" s="126">
        <f t="shared" si="19"/>
        <v>43948840</v>
      </c>
      <c r="K24" s="126">
        <f t="shared" si="19"/>
        <v>43948840</v>
      </c>
      <c r="L24" s="126">
        <f t="shared" si="19"/>
        <v>43948840</v>
      </c>
      <c r="M24" s="126">
        <f t="shared" si="19"/>
        <v>43948840</v>
      </c>
      <c r="N24" s="126">
        <f t="shared" si="19"/>
        <v>43948840</v>
      </c>
      <c r="O24" s="130">
        <f>'9.1. sz. mell ÖNK'!C156</f>
        <v>527386080</v>
      </c>
    </row>
    <row r="25" spans="1:15" s="123" customFormat="1" ht="15.95" customHeight="1" thickBot="1" x14ac:dyDescent="0.25">
      <c r="A25" s="134" t="s">
        <v>39</v>
      </c>
      <c r="B25" s="42" t="s">
        <v>111</v>
      </c>
      <c r="C25" s="131">
        <f t="shared" ref="C25:N25" si="20">SUM(C16:C24)</f>
        <v>165177997</v>
      </c>
      <c r="D25" s="131">
        <f t="shared" si="20"/>
        <v>165177997</v>
      </c>
      <c r="E25" s="131">
        <f t="shared" si="20"/>
        <v>165177997</v>
      </c>
      <c r="F25" s="131">
        <f t="shared" si="20"/>
        <v>165177997</v>
      </c>
      <c r="G25" s="131">
        <f t="shared" si="20"/>
        <v>165177997</v>
      </c>
      <c r="H25" s="131">
        <f t="shared" si="20"/>
        <v>165177997</v>
      </c>
      <c r="I25" s="131">
        <f t="shared" si="20"/>
        <v>165177997</v>
      </c>
      <c r="J25" s="131">
        <f t="shared" si="20"/>
        <v>165177997</v>
      </c>
      <c r="K25" s="131">
        <f t="shared" si="20"/>
        <v>165177997</v>
      </c>
      <c r="L25" s="131">
        <f t="shared" si="20"/>
        <v>165177997</v>
      </c>
      <c r="M25" s="131">
        <f t="shared" si="20"/>
        <v>165177997</v>
      </c>
      <c r="N25" s="131">
        <f t="shared" si="20"/>
        <v>165177997</v>
      </c>
      <c r="O25" s="132">
        <f>SUM(C25:N25)</f>
        <v>1982135964</v>
      </c>
    </row>
    <row r="26" spans="1:15" ht="16.5" thickBot="1" x14ac:dyDescent="0.3">
      <c r="A26" s="134" t="s">
        <v>40</v>
      </c>
      <c r="B26" s="322" t="s">
        <v>112</v>
      </c>
      <c r="C26" s="135">
        <f t="shared" ref="C26:O26" si="21">C14-C25</f>
        <v>5876965.9166666865</v>
      </c>
      <c r="D26" s="135">
        <f t="shared" si="21"/>
        <v>5876965.9166666865</v>
      </c>
      <c r="E26" s="135">
        <f t="shared" si="21"/>
        <v>5876965.9166666865</v>
      </c>
      <c r="F26" s="135">
        <f t="shared" si="21"/>
        <v>5876965.9166666865</v>
      </c>
      <c r="G26" s="135">
        <f t="shared" si="21"/>
        <v>5876965.9166666865</v>
      </c>
      <c r="H26" s="135">
        <f t="shared" si="21"/>
        <v>5876965.9166666865</v>
      </c>
      <c r="I26" s="135">
        <f t="shared" si="21"/>
        <v>5876965.9166666865</v>
      </c>
      <c r="J26" s="135">
        <f t="shared" si="21"/>
        <v>5876965.9166666865</v>
      </c>
      <c r="K26" s="135">
        <f t="shared" si="21"/>
        <v>5876965.9166666865</v>
      </c>
      <c r="L26" s="135">
        <f t="shared" si="21"/>
        <v>5876965.9166666865</v>
      </c>
      <c r="M26" s="135">
        <f t="shared" si="21"/>
        <v>5876965.9166666865</v>
      </c>
      <c r="N26" s="135">
        <f t="shared" si="21"/>
        <v>5876965.9166666865</v>
      </c>
      <c r="O26" s="136">
        <f t="shared" si="21"/>
        <v>70523591.000000715</v>
      </c>
    </row>
    <row r="27" spans="1:15" x14ac:dyDescent="0.25">
      <c r="A27" s="138"/>
    </row>
    <row r="28" spans="1:15" x14ac:dyDescent="0.25">
      <c r="B28" s="139"/>
      <c r="C28" s="140"/>
      <c r="D28" s="140"/>
      <c r="O28" s="137"/>
    </row>
    <row r="29" spans="1:15" x14ac:dyDescent="0.25">
      <c r="O29" s="137"/>
    </row>
    <row r="30" spans="1:15" x14ac:dyDescent="0.25">
      <c r="O30" s="137"/>
    </row>
    <row r="31" spans="1:15" x14ac:dyDescent="0.25">
      <c r="O31" s="137"/>
    </row>
    <row r="32" spans="1:15" x14ac:dyDescent="0.25">
      <c r="O32" s="137"/>
    </row>
    <row r="33" spans="15:15" x14ac:dyDescent="0.25">
      <c r="O33" s="137"/>
    </row>
    <row r="34" spans="15:15" x14ac:dyDescent="0.25">
      <c r="O34" s="137"/>
    </row>
    <row r="35" spans="15:15" x14ac:dyDescent="0.25">
      <c r="O35" s="137"/>
    </row>
    <row r="36" spans="15:15" x14ac:dyDescent="0.25">
      <c r="O36" s="137"/>
    </row>
    <row r="37" spans="15:15" x14ac:dyDescent="0.25">
      <c r="O37" s="137"/>
    </row>
    <row r="38" spans="15:15" x14ac:dyDescent="0.25">
      <c r="O38" s="137"/>
    </row>
    <row r="39" spans="15:15" x14ac:dyDescent="0.25">
      <c r="O39" s="137"/>
    </row>
    <row r="40" spans="15:15" x14ac:dyDescent="0.25">
      <c r="O40" s="137"/>
    </row>
    <row r="41" spans="15:15" x14ac:dyDescent="0.25">
      <c r="O41" s="137"/>
    </row>
    <row r="42" spans="15:15" x14ac:dyDescent="0.25">
      <c r="O42" s="137"/>
    </row>
    <row r="43" spans="15:15" x14ac:dyDescent="0.25">
      <c r="O43" s="137"/>
    </row>
    <row r="44" spans="15:15" x14ac:dyDescent="0.25">
      <c r="O44" s="137"/>
    </row>
    <row r="45" spans="15:15" x14ac:dyDescent="0.25">
      <c r="O45" s="137"/>
    </row>
    <row r="46" spans="15:15" x14ac:dyDescent="0.25">
      <c r="O46" s="137"/>
    </row>
    <row r="47" spans="15:15" x14ac:dyDescent="0.25">
      <c r="O47" s="137"/>
    </row>
    <row r="48" spans="15:15" x14ac:dyDescent="0.25">
      <c r="O48" s="137"/>
    </row>
    <row r="49" spans="15:15" x14ac:dyDescent="0.25">
      <c r="O49" s="137"/>
    </row>
    <row r="50" spans="15:15" x14ac:dyDescent="0.25">
      <c r="O50" s="137"/>
    </row>
    <row r="51" spans="15:15" x14ac:dyDescent="0.25">
      <c r="O51" s="137"/>
    </row>
    <row r="52" spans="15:15" x14ac:dyDescent="0.25">
      <c r="O52" s="137"/>
    </row>
    <row r="53" spans="15:15" x14ac:dyDescent="0.25">
      <c r="O53" s="137"/>
    </row>
    <row r="54" spans="15:15" x14ac:dyDescent="0.25">
      <c r="O54" s="137"/>
    </row>
    <row r="55" spans="15:15" x14ac:dyDescent="0.25">
      <c r="O55" s="137"/>
    </row>
    <row r="56" spans="15:15" x14ac:dyDescent="0.25">
      <c r="O56" s="137"/>
    </row>
    <row r="57" spans="15:15" x14ac:dyDescent="0.25">
      <c r="O57" s="137"/>
    </row>
    <row r="58" spans="15:15" x14ac:dyDescent="0.25">
      <c r="O58" s="137"/>
    </row>
    <row r="59" spans="15:15" x14ac:dyDescent="0.25">
      <c r="O59" s="137"/>
    </row>
    <row r="60" spans="15:15" x14ac:dyDescent="0.25">
      <c r="O60" s="137"/>
    </row>
    <row r="61" spans="15:15" x14ac:dyDescent="0.25">
      <c r="O61" s="137"/>
    </row>
    <row r="62" spans="15:15" x14ac:dyDescent="0.25">
      <c r="O62" s="137"/>
    </row>
    <row r="63" spans="15:15" x14ac:dyDescent="0.25">
      <c r="O63" s="137"/>
    </row>
    <row r="64" spans="15:15" x14ac:dyDescent="0.25">
      <c r="O64" s="137"/>
    </row>
    <row r="65" spans="15:15" x14ac:dyDescent="0.25">
      <c r="O65" s="137"/>
    </row>
    <row r="66" spans="15:15" x14ac:dyDescent="0.25">
      <c r="O66" s="137"/>
    </row>
    <row r="67" spans="15:15" x14ac:dyDescent="0.25">
      <c r="O67" s="137"/>
    </row>
    <row r="68" spans="15:15" x14ac:dyDescent="0.25">
      <c r="O68" s="137"/>
    </row>
    <row r="69" spans="15:15" x14ac:dyDescent="0.25">
      <c r="O69" s="137"/>
    </row>
    <row r="70" spans="15:15" x14ac:dyDescent="0.25">
      <c r="O70" s="137"/>
    </row>
    <row r="71" spans="15:15" x14ac:dyDescent="0.25">
      <c r="O71" s="137"/>
    </row>
    <row r="72" spans="15:15" x14ac:dyDescent="0.25">
      <c r="O72" s="137"/>
    </row>
    <row r="73" spans="15:15" x14ac:dyDescent="0.25">
      <c r="O73" s="137"/>
    </row>
    <row r="74" spans="15:15" x14ac:dyDescent="0.25">
      <c r="O74" s="137"/>
    </row>
    <row r="75" spans="15:15" x14ac:dyDescent="0.25">
      <c r="O75" s="137"/>
    </row>
    <row r="76" spans="15:15" x14ac:dyDescent="0.25">
      <c r="O76" s="137"/>
    </row>
    <row r="77" spans="15:15" x14ac:dyDescent="0.25">
      <c r="O77" s="137"/>
    </row>
    <row r="78" spans="15:15" x14ac:dyDescent="0.25">
      <c r="O78" s="137"/>
    </row>
    <row r="79" spans="15:15" x14ac:dyDescent="0.25">
      <c r="O79" s="137"/>
    </row>
    <row r="80" spans="15:15" x14ac:dyDescent="0.25">
      <c r="O80" s="137"/>
    </row>
    <row r="81" spans="15:15" x14ac:dyDescent="0.25">
      <c r="O81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39"/>
  <sheetViews>
    <sheetView topLeftCell="A2" zoomScaleNormal="100" workbookViewId="0">
      <selection activeCell="B39" sqref="B39"/>
    </sheetView>
  </sheetViews>
  <sheetFormatPr defaultRowHeight="12.75" x14ac:dyDescent="0.2"/>
  <cols>
    <col min="1" max="1" width="88.6640625" style="52" customWidth="1"/>
    <col min="2" max="2" width="27.83203125" style="52" customWidth="1"/>
    <col min="3" max="3" width="3.5" style="52" customWidth="1"/>
    <col min="4" max="16384" width="9.33203125" style="52"/>
  </cols>
  <sheetData>
    <row r="1" spans="1:3" ht="47.25" customHeight="1" x14ac:dyDescent="0.2">
      <c r="A1" s="720" t="str">
        <f>+CONCATENATE("A ",LEFT(ÖSSZEFÜGGÉSEK!A5,4),". évi általános működés és ágazati feladatok támogatásának alakulása jogcímenként")</f>
        <v>A 2018. évi általános működés és ágazati feladatok támogatásának alakulása jogcímenként</v>
      </c>
      <c r="B1" s="720"/>
    </row>
    <row r="2" spans="1:3" ht="22.5" customHeight="1" thickBot="1" x14ac:dyDescent="0.25">
      <c r="A2" s="416"/>
      <c r="B2" s="417" t="s">
        <v>13</v>
      </c>
    </row>
    <row r="3" spans="1:3" s="53" customFormat="1" ht="24" customHeight="1" thickBot="1" x14ac:dyDescent="0.25">
      <c r="A3" s="324" t="s">
        <v>52</v>
      </c>
      <c r="B3" s="415" t="str">
        <f>+CONCATENATE(LEFT(ÖSSZEFÜGGÉSEK!A5,4),". évi támogatás összesen")</f>
        <v>2018. évi támogatás összesen</v>
      </c>
    </row>
    <row r="4" spans="1:3" s="54" customFormat="1" ht="13.5" thickBot="1" x14ac:dyDescent="0.25">
      <c r="A4" s="213" t="s">
        <v>495</v>
      </c>
      <c r="B4" s="214" t="s">
        <v>496</v>
      </c>
    </row>
    <row r="5" spans="1:3" x14ac:dyDescent="0.2">
      <c r="A5" s="141" t="s">
        <v>607</v>
      </c>
      <c r="B5" s="448">
        <v>108912400</v>
      </c>
    </row>
    <row r="6" spans="1:3" ht="12.75" customHeight="1" x14ac:dyDescent="0.2">
      <c r="A6" s="142" t="s">
        <v>608</v>
      </c>
      <c r="B6" s="448">
        <f>SUM(B7:B10)</f>
        <v>39239839</v>
      </c>
    </row>
    <row r="7" spans="1:3" x14ac:dyDescent="0.2">
      <c r="A7" s="142" t="s">
        <v>609</v>
      </c>
      <c r="B7" s="601">
        <v>14167190</v>
      </c>
    </row>
    <row r="8" spans="1:3" x14ac:dyDescent="0.2">
      <c r="A8" s="142" t="s">
        <v>610</v>
      </c>
      <c r="B8" s="601">
        <v>13952000</v>
      </c>
    </row>
    <row r="9" spans="1:3" x14ac:dyDescent="0.2">
      <c r="A9" s="142" t="s">
        <v>611</v>
      </c>
      <c r="B9" s="601">
        <v>2076969</v>
      </c>
    </row>
    <row r="10" spans="1:3" x14ac:dyDescent="0.2">
      <c r="A10" s="142" t="s">
        <v>612</v>
      </c>
      <c r="B10" s="601">
        <v>9043680</v>
      </c>
    </row>
    <row r="11" spans="1:3" x14ac:dyDescent="0.2">
      <c r="A11" s="142" t="s">
        <v>613</v>
      </c>
      <c r="B11" s="448">
        <v>18862200</v>
      </c>
    </row>
    <row r="12" spans="1:3" x14ac:dyDescent="0.2">
      <c r="A12" s="142" t="s">
        <v>615</v>
      </c>
      <c r="B12" s="448">
        <v>15300</v>
      </c>
    </row>
    <row r="13" spans="1:3" x14ac:dyDescent="0.2">
      <c r="A13" s="142" t="s">
        <v>614</v>
      </c>
      <c r="B13" s="448">
        <v>0</v>
      </c>
    </row>
    <row r="14" spans="1:3" x14ac:dyDescent="0.2">
      <c r="A14" s="142" t="s">
        <v>633</v>
      </c>
      <c r="B14" s="448">
        <v>33405948</v>
      </c>
    </row>
    <row r="15" spans="1:3" x14ac:dyDescent="0.2">
      <c r="A15" s="142" t="s">
        <v>681</v>
      </c>
      <c r="B15" s="448">
        <v>1756400</v>
      </c>
    </row>
    <row r="16" spans="1:3" x14ac:dyDescent="0.2">
      <c r="A16" s="599" t="s">
        <v>616</v>
      </c>
      <c r="B16" s="602">
        <f>B5+B6+B11+B13+B12+B14+B15</f>
        <v>202192087</v>
      </c>
      <c r="C16" s="721" t="s">
        <v>530</v>
      </c>
    </row>
    <row r="17" spans="1:3" x14ac:dyDescent="0.2">
      <c r="A17" s="142"/>
      <c r="B17" s="448"/>
      <c r="C17" s="721"/>
    </row>
    <row r="18" spans="1:3" x14ac:dyDescent="0.2">
      <c r="A18" s="142" t="s">
        <v>619</v>
      </c>
      <c r="B18" s="600">
        <f>SUM(B19:B24)</f>
        <v>93489584</v>
      </c>
      <c r="C18" s="721"/>
    </row>
    <row r="19" spans="1:3" x14ac:dyDescent="0.2">
      <c r="A19" s="142" t="s">
        <v>682</v>
      </c>
      <c r="B19" s="601">
        <v>46546800</v>
      </c>
      <c r="C19" s="721"/>
    </row>
    <row r="20" spans="1:3" x14ac:dyDescent="0.2">
      <c r="A20" s="142" t="s">
        <v>683</v>
      </c>
      <c r="B20" s="601">
        <v>14700000</v>
      </c>
      <c r="C20" s="721"/>
    </row>
    <row r="21" spans="1:3" x14ac:dyDescent="0.2">
      <c r="A21" s="142" t="s">
        <v>684</v>
      </c>
      <c r="B21" s="601">
        <v>21947700</v>
      </c>
      <c r="C21" s="721"/>
    </row>
    <row r="22" spans="1:3" x14ac:dyDescent="0.2">
      <c r="A22" s="142" t="s">
        <v>685</v>
      </c>
      <c r="B22" s="601">
        <v>7350000</v>
      </c>
      <c r="C22" s="721"/>
    </row>
    <row r="23" spans="1:3" ht="22.5" x14ac:dyDescent="0.2">
      <c r="A23" s="142" t="s">
        <v>687</v>
      </c>
      <c r="B23" s="601">
        <v>1604000</v>
      </c>
      <c r="C23" s="721"/>
    </row>
    <row r="24" spans="1:3" ht="22.5" x14ac:dyDescent="0.2">
      <c r="A24" s="142" t="s">
        <v>686</v>
      </c>
      <c r="B24" s="601">
        <v>1341084</v>
      </c>
      <c r="C24" s="721"/>
    </row>
    <row r="25" spans="1:3" x14ac:dyDescent="0.2">
      <c r="A25" s="142" t="s">
        <v>620</v>
      </c>
      <c r="B25" s="600">
        <f>SUM(B26:B27)</f>
        <v>14651533</v>
      </c>
      <c r="C25" s="721"/>
    </row>
    <row r="26" spans="1:3" x14ac:dyDescent="0.2">
      <c r="A26" s="142" t="s">
        <v>617</v>
      </c>
      <c r="B26" s="448">
        <v>9967400</v>
      </c>
      <c r="C26" s="721"/>
    </row>
    <row r="27" spans="1:3" x14ac:dyDescent="0.2">
      <c r="A27" s="142" t="s">
        <v>618</v>
      </c>
      <c r="B27" s="448">
        <v>4684133</v>
      </c>
      <c r="C27" s="721"/>
    </row>
    <row r="28" spans="1:3" x14ac:dyDescent="0.2">
      <c r="A28" s="599" t="s">
        <v>621</v>
      </c>
      <c r="B28" s="602">
        <f>B18+B25</f>
        <v>108141117</v>
      </c>
      <c r="C28" s="721"/>
    </row>
    <row r="29" spans="1:3" x14ac:dyDescent="0.2">
      <c r="A29" s="599"/>
      <c r="B29" s="448"/>
      <c r="C29" s="721"/>
    </row>
    <row r="30" spans="1:3" x14ac:dyDescent="0.2">
      <c r="A30" s="142" t="s">
        <v>622</v>
      </c>
      <c r="B30" s="448">
        <v>62440000</v>
      </c>
      <c r="C30" s="721"/>
    </row>
    <row r="31" spans="1:3" x14ac:dyDescent="0.2">
      <c r="A31" s="142" t="s">
        <v>623</v>
      </c>
      <c r="B31" s="448">
        <v>13600000</v>
      </c>
      <c r="C31" s="721"/>
    </row>
    <row r="32" spans="1:3" x14ac:dyDescent="0.2">
      <c r="A32" s="142" t="s">
        <v>624</v>
      </c>
      <c r="B32" s="448">
        <v>19800000</v>
      </c>
      <c r="C32" s="721"/>
    </row>
    <row r="33" spans="1:3" x14ac:dyDescent="0.2">
      <c r="A33" s="142" t="s">
        <v>625</v>
      </c>
      <c r="B33" s="448">
        <v>29374000</v>
      </c>
      <c r="C33" s="721"/>
    </row>
    <row r="34" spans="1:3" x14ac:dyDescent="0.2">
      <c r="A34" s="142" t="s">
        <v>626</v>
      </c>
      <c r="B34" s="448">
        <v>48737440</v>
      </c>
      <c r="C34" s="721"/>
    </row>
    <row r="35" spans="1:3" x14ac:dyDescent="0.2">
      <c r="A35" s="143" t="s">
        <v>627</v>
      </c>
      <c r="B35" s="448">
        <v>9371940</v>
      </c>
      <c r="C35" s="721"/>
    </row>
    <row r="36" spans="1:3" ht="21" x14ac:dyDescent="0.2">
      <c r="A36" s="603" t="s">
        <v>628</v>
      </c>
      <c r="B36" s="602">
        <f>SUM(B30:B35)</f>
        <v>183323380</v>
      </c>
      <c r="C36" s="721"/>
    </row>
    <row r="37" spans="1:3" x14ac:dyDescent="0.2">
      <c r="A37" s="143"/>
      <c r="B37" s="448"/>
      <c r="C37" s="721"/>
    </row>
    <row r="38" spans="1:3" ht="21.75" thickBot="1" x14ac:dyDescent="0.25">
      <c r="A38" s="603" t="s">
        <v>629</v>
      </c>
      <c r="B38" s="602">
        <v>8453060</v>
      </c>
      <c r="C38" s="721"/>
    </row>
    <row r="39" spans="1:3" s="56" customFormat="1" ht="19.5" customHeight="1" thickBot="1" x14ac:dyDescent="0.25">
      <c r="A39" s="39" t="s">
        <v>53</v>
      </c>
      <c r="B39" s="55">
        <f>B16+B28+B36+B38</f>
        <v>502109644</v>
      </c>
      <c r="C39" s="721"/>
    </row>
  </sheetData>
  <mergeCells count="2">
    <mergeCell ref="A1:B1"/>
    <mergeCell ref="C16:C39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B4" sqref="B4:D16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5" t="str">
        <f>+CONCATENATE("K I M U T A T Á S",CHAR(10),"a ",LEFT(ÖSSZEFÜGGÉSEK!A5,4),". évben céljelleggel juttatott támogatásokról")</f>
        <v>K I M U T A T Á S
a 2018. évben céljelleggel juttatott támogatásokról</v>
      </c>
      <c r="B1" s="725"/>
      <c r="C1" s="725"/>
      <c r="D1" s="725"/>
    </row>
    <row r="2" spans="1:4" ht="17.25" customHeight="1" x14ac:dyDescent="0.25">
      <c r="A2" s="414"/>
      <c r="B2" s="414"/>
      <c r="C2" s="414"/>
      <c r="D2" s="414"/>
    </row>
    <row r="3" spans="1:4" ht="13.5" thickBot="1" x14ac:dyDescent="0.25">
      <c r="A3" s="234"/>
      <c r="B3" s="234"/>
      <c r="C3" s="722" t="s">
        <v>577</v>
      </c>
      <c r="D3" s="722"/>
    </row>
    <row r="4" spans="1:4" ht="42.75" customHeight="1" thickBot="1" x14ac:dyDescent="0.25">
      <c r="A4" s="418" t="s">
        <v>70</v>
      </c>
      <c r="B4" s="419" t="s">
        <v>126</v>
      </c>
      <c r="C4" s="419" t="s">
        <v>127</v>
      </c>
      <c r="D4" s="420" t="s">
        <v>14</v>
      </c>
    </row>
    <row r="5" spans="1:4" ht="18.75" customHeight="1" x14ac:dyDescent="0.2">
      <c r="A5" s="235" t="s">
        <v>18</v>
      </c>
      <c r="B5" s="660" t="s">
        <v>730</v>
      </c>
      <c r="C5" s="664" t="s">
        <v>581</v>
      </c>
      <c r="D5" s="32">
        <v>19000000</v>
      </c>
    </row>
    <row r="6" spans="1:4" ht="17.25" customHeight="1" x14ac:dyDescent="0.2">
      <c r="A6" s="236" t="s">
        <v>19</v>
      </c>
      <c r="B6" s="662" t="s">
        <v>732</v>
      </c>
      <c r="C6" s="33" t="s">
        <v>581</v>
      </c>
      <c r="D6" s="663">
        <v>1000000</v>
      </c>
    </row>
    <row r="7" spans="1:4" ht="15.95" customHeight="1" x14ac:dyDescent="0.2">
      <c r="A7" s="236" t="s">
        <v>20</v>
      </c>
      <c r="B7" s="33" t="s">
        <v>579</v>
      </c>
      <c r="C7" s="33" t="s">
        <v>581</v>
      </c>
      <c r="D7" s="34">
        <v>200000</v>
      </c>
    </row>
    <row r="8" spans="1:4" ht="15.95" customHeight="1" x14ac:dyDescent="0.2">
      <c r="A8" s="236" t="s">
        <v>21</v>
      </c>
      <c r="B8" s="33" t="s">
        <v>580</v>
      </c>
      <c r="C8" s="33" t="s">
        <v>581</v>
      </c>
      <c r="D8" s="34">
        <v>300000</v>
      </c>
    </row>
    <row r="9" spans="1:4" ht="15.95" customHeight="1" x14ac:dyDescent="0.2">
      <c r="A9" s="236" t="s">
        <v>22</v>
      </c>
      <c r="B9" s="33" t="s">
        <v>582</v>
      </c>
      <c r="C9" s="582" t="s">
        <v>581</v>
      </c>
      <c r="D9" s="34">
        <v>3000000</v>
      </c>
    </row>
    <row r="10" spans="1:4" ht="15.95" customHeight="1" x14ac:dyDescent="0.2">
      <c r="A10" s="236" t="s">
        <v>23</v>
      </c>
      <c r="B10" s="33" t="s">
        <v>733</v>
      </c>
      <c r="C10" s="582" t="s">
        <v>581</v>
      </c>
      <c r="D10" s="34">
        <v>250000</v>
      </c>
    </row>
    <row r="11" spans="1:4" ht="15.95" customHeight="1" x14ac:dyDescent="0.2">
      <c r="A11" s="236" t="s">
        <v>24</v>
      </c>
      <c r="B11" s="33" t="s">
        <v>688</v>
      </c>
      <c r="C11" s="582" t="s">
        <v>581</v>
      </c>
      <c r="D11" s="34">
        <v>50000</v>
      </c>
    </row>
    <row r="12" spans="1:4" ht="15.95" customHeight="1" x14ac:dyDescent="0.2">
      <c r="A12" s="236" t="s">
        <v>25</v>
      </c>
      <c r="B12" s="33" t="s">
        <v>689</v>
      </c>
      <c r="C12" s="582" t="s">
        <v>581</v>
      </c>
      <c r="D12" s="34">
        <v>30000</v>
      </c>
    </row>
    <row r="13" spans="1:4" ht="15.95" customHeight="1" x14ac:dyDescent="0.2">
      <c r="A13" s="236" t="s">
        <v>26</v>
      </c>
      <c r="B13" s="33" t="s">
        <v>690</v>
      </c>
      <c r="C13" s="582" t="s">
        <v>581</v>
      </c>
      <c r="D13" s="34">
        <v>100000</v>
      </c>
    </row>
    <row r="14" spans="1:4" ht="15.95" customHeight="1" x14ac:dyDescent="0.2">
      <c r="A14" s="236" t="s">
        <v>27</v>
      </c>
      <c r="B14" s="33" t="s">
        <v>691</v>
      </c>
      <c r="C14" s="582" t="s">
        <v>581</v>
      </c>
      <c r="D14" s="34">
        <v>100000</v>
      </c>
    </row>
    <row r="15" spans="1:4" ht="15.95" customHeight="1" x14ac:dyDescent="0.2">
      <c r="A15" s="236" t="s">
        <v>28</v>
      </c>
      <c r="B15" s="33" t="s">
        <v>692</v>
      </c>
      <c r="C15" s="582" t="s">
        <v>581</v>
      </c>
      <c r="D15" s="34">
        <v>1000000</v>
      </c>
    </row>
    <row r="16" spans="1:4" ht="15.95" customHeight="1" x14ac:dyDescent="0.2">
      <c r="A16" s="236" t="s">
        <v>29</v>
      </c>
      <c r="B16" s="33" t="s">
        <v>727</v>
      </c>
      <c r="C16" s="33" t="s">
        <v>693</v>
      </c>
      <c r="D16" s="34">
        <v>4069049</v>
      </c>
    </row>
    <row r="17" spans="1:4" ht="15.95" customHeight="1" x14ac:dyDescent="0.2">
      <c r="A17" s="236" t="s">
        <v>30</v>
      </c>
      <c r="B17" s="33"/>
      <c r="C17" s="33"/>
      <c r="D17" s="34"/>
    </row>
    <row r="18" spans="1:4" ht="15.95" customHeight="1" x14ac:dyDescent="0.2">
      <c r="A18" s="236" t="s">
        <v>31</v>
      </c>
      <c r="B18" s="33"/>
      <c r="C18" s="33"/>
      <c r="D18" s="34"/>
    </row>
    <row r="19" spans="1:4" ht="15.95" customHeight="1" x14ac:dyDescent="0.2">
      <c r="A19" s="236" t="s">
        <v>32</v>
      </c>
      <c r="B19" s="33"/>
      <c r="C19" s="33"/>
      <c r="D19" s="34"/>
    </row>
    <row r="20" spans="1:4" ht="15.95" customHeight="1" x14ac:dyDescent="0.2">
      <c r="A20" s="236" t="s">
        <v>33</v>
      </c>
      <c r="B20" s="33"/>
      <c r="C20" s="33"/>
      <c r="D20" s="34"/>
    </row>
    <row r="21" spans="1:4" ht="15.95" customHeight="1" x14ac:dyDescent="0.2">
      <c r="A21" s="236" t="s">
        <v>34</v>
      </c>
      <c r="B21" s="33"/>
      <c r="C21" s="33"/>
      <c r="D21" s="34"/>
    </row>
    <row r="22" spans="1:4" ht="15.95" customHeight="1" x14ac:dyDescent="0.2">
      <c r="A22" s="236" t="s">
        <v>35</v>
      </c>
      <c r="B22" s="33"/>
      <c r="C22" s="33"/>
      <c r="D22" s="34"/>
    </row>
    <row r="23" spans="1:4" ht="15.95" customHeight="1" x14ac:dyDescent="0.2">
      <c r="A23" s="236" t="s">
        <v>36</v>
      </c>
      <c r="B23" s="33"/>
      <c r="C23" s="33"/>
      <c r="D23" s="34"/>
    </row>
    <row r="24" spans="1:4" ht="15.95" customHeight="1" x14ac:dyDescent="0.2">
      <c r="A24" s="236" t="s">
        <v>37</v>
      </c>
      <c r="B24" s="33"/>
      <c r="C24" s="33"/>
      <c r="D24" s="34"/>
    </row>
    <row r="25" spans="1:4" ht="15.95" customHeight="1" x14ac:dyDescent="0.2">
      <c r="A25" s="236" t="s">
        <v>38</v>
      </c>
      <c r="B25" s="33"/>
      <c r="C25" s="33"/>
      <c r="D25" s="34"/>
    </row>
    <row r="26" spans="1:4" ht="15.95" customHeight="1" x14ac:dyDescent="0.2">
      <c r="A26" s="236" t="s">
        <v>39</v>
      </c>
      <c r="B26" s="33"/>
      <c r="C26" s="33"/>
      <c r="D26" s="34"/>
    </row>
    <row r="27" spans="1:4" ht="15.95" customHeight="1" x14ac:dyDescent="0.2">
      <c r="A27" s="236" t="s">
        <v>40</v>
      </c>
      <c r="B27" s="33"/>
      <c r="C27" s="33"/>
      <c r="D27" s="34"/>
    </row>
    <row r="28" spans="1:4" ht="15.95" customHeight="1" x14ac:dyDescent="0.2">
      <c r="A28" s="236" t="s">
        <v>41</v>
      </c>
      <c r="B28" s="33"/>
      <c r="C28" s="33"/>
      <c r="D28" s="34"/>
    </row>
    <row r="29" spans="1:4" ht="15.95" customHeight="1" x14ac:dyDescent="0.2">
      <c r="A29" s="236" t="s">
        <v>42</v>
      </c>
      <c r="B29" s="33"/>
      <c r="C29" s="33"/>
      <c r="D29" s="34"/>
    </row>
    <row r="30" spans="1:4" ht="15.95" customHeight="1" x14ac:dyDescent="0.2">
      <c r="A30" s="236" t="s">
        <v>43</v>
      </c>
      <c r="B30" s="33"/>
      <c r="C30" s="33"/>
      <c r="D30" s="34"/>
    </row>
    <row r="31" spans="1:4" ht="15.95" customHeight="1" x14ac:dyDescent="0.2">
      <c r="A31" s="236" t="s">
        <v>44</v>
      </c>
      <c r="B31" s="33"/>
      <c r="C31" s="33"/>
      <c r="D31" s="34"/>
    </row>
    <row r="32" spans="1:4" ht="15.95" customHeight="1" x14ac:dyDescent="0.2">
      <c r="A32" s="236" t="s">
        <v>45</v>
      </c>
      <c r="B32" s="33"/>
      <c r="C32" s="33"/>
      <c r="D32" s="34"/>
    </row>
    <row r="33" spans="1:4" ht="15.95" customHeight="1" x14ac:dyDescent="0.2">
      <c r="A33" s="236" t="s">
        <v>46</v>
      </c>
      <c r="B33" s="33"/>
      <c r="C33" s="33"/>
      <c r="D33" s="34"/>
    </row>
    <row r="34" spans="1:4" ht="15.95" customHeight="1" x14ac:dyDescent="0.2">
      <c r="A34" s="236" t="s">
        <v>128</v>
      </c>
      <c r="B34" s="33"/>
      <c r="C34" s="33"/>
      <c r="D34" s="34"/>
    </row>
    <row r="35" spans="1:4" ht="15.95" customHeight="1" x14ac:dyDescent="0.2">
      <c r="A35" s="236" t="s">
        <v>129</v>
      </c>
      <c r="B35" s="33"/>
      <c r="C35" s="33"/>
      <c r="D35" s="104"/>
    </row>
    <row r="36" spans="1:4" ht="15.95" customHeight="1" x14ac:dyDescent="0.2">
      <c r="A36" s="236" t="s">
        <v>130</v>
      </c>
      <c r="B36" s="33"/>
      <c r="C36" s="33"/>
      <c r="D36" s="104"/>
    </row>
    <row r="37" spans="1:4" ht="15.95" customHeight="1" x14ac:dyDescent="0.2">
      <c r="A37" s="236" t="s">
        <v>131</v>
      </c>
      <c r="B37" s="33"/>
      <c r="C37" s="33"/>
      <c r="D37" s="104"/>
    </row>
    <row r="38" spans="1:4" ht="15.95" customHeight="1" thickBot="1" x14ac:dyDescent="0.25">
      <c r="A38" s="237" t="s">
        <v>731</v>
      </c>
      <c r="B38" s="35"/>
      <c r="C38" s="35"/>
      <c r="D38" s="105"/>
    </row>
    <row r="39" spans="1:4" ht="15.95" customHeight="1" thickBot="1" x14ac:dyDescent="0.25">
      <c r="A39" s="723" t="s">
        <v>53</v>
      </c>
      <c r="B39" s="724"/>
      <c r="C39" s="238"/>
      <c r="D39" s="239">
        <f>SUM(D5:D38)</f>
        <v>29099049</v>
      </c>
    </row>
    <row r="40" spans="1:4" x14ac:dyDescent="0.2">
      <c r="A40" t="s">
        <v>199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C6" sqref="C6"/>
    </sheetView>
  </sheetViews>
  <sheetFormatPr defaultRowHeight="15.75" x14ac:dyDescent="0.25"/>
  <cols>
    <col min="1" max="1" width="9" style="422" customWidth="1"/>
    <col min="2" max="2" width="66.33203125" style="422" bestFit="1" customWidth="1"/>
    <col min="3" max="3" width="15.5" style="423" customWidth="1"/>
    <col min="4" max="5" width="15.5" style="422" customWidth="1"/>
    <col min="6" max="6" width="9" style="456" customWidth="1"/>
    <col min="7" max="16384" width="9.33203125" style="456"/>
  </cols>
  <sheetData>
    <row r="1" spans="1:5" ht="15.95" customHeight="1" x14ac:dyDescent="0.25">
      <c r="A1" s="669" t="s">
        <v>15</v>
      </c>
      <c r="B1" s="669"/>
      <c r="C1" s="669"/>
      <c r="D1" s="669"/>
      <c r="E1" s="669"/>
    </row>
    <row r="2" spans="1:5" ht="15.95" customHeight="1" thickBot="1" x14ac:dyDescent="0.3">
      <c r="A2" s="670" t="s">
        <v>152</v>
      </c>
      <c r="B2" s="670"/>
      <c r="D2" s="165"/>
      <c r="E2" s="340" t="s">
        <v>226</v>
      </c>
    </row>
    <row r="3" spans="1:5" ht="38.1" customHeight="1" thickBot="1" x14ac:dyDescent="0.3">
      <c r="A3" s="23" t="s">
        <v>70</v>
      </c>
      <c r="B3" s="24" t="s">
        <v>17</v>
      </c>
      <c r="C3" s="24" t="str">
        <f>+CONCATENATE(LEFT(ÖSSZEFÜGGÉSEK!A5,4)+1,". évi")</f>
        <v>2019. évi</v>
      </c>
      <c r="D3" s="447" t="str">
        <f>+CONCATENATE(LEFT(ÖSSZEFÜGGÉSEK!A5,4)+2,". évi")</f>
        <v>2020. évi</v>
      </c>
      <c r="E3" s="186" t="str">
        <f>+CONCATENATE(LEFT(ÖSSZEFÜGGÉSEK!A5,4)+3,". évi")</f>
        <v>2021. évi</v>
      </c>
    </row>
    <row r="4" spans="1:5" s="457" customFormat="1" ht="12" customHeight="1" thickBot="1" x14ac:dyDescent="0.25">
      <c r="A4" s="36" t="s">
        <v>495</v>
      </c>
      <c r="B4" s="37" t="s">
        <v>496</v>
      </c>
      <c r="C4" s="37" t="s">
        <v>497</v>
      </c>
      <c r="D4" s="37" t="s">
        <v>499</v>
      </c>
      <c r="E4" s="491" t="s">
        <v>498</v>
      </c>
    </row>
    <row r="5" spans="1:5" s="458" customFormat="1" ht="12" customHeight="1" thickBot="1" x14ac:dyDescent="0.25">
      <c r="A5" s="20" t="s">
        <v>18</v>
      </c>
      <c r="B5" s="21" t="s">
        <v>534</v>
      </c>
      <c r="C5" s="509">
        <v>1190417</v>
      </c>
      <c r="D5" s="509">
        <v>1380884</v>
      </c>
      <c r="E5" s="510">
        <v>1380900</v>
      </c>
    </row>
    <row r="6" spans="1:5" s="458" customFormat="1" ht="12" customHeight="1" thickBot="1" x14ac:dyDescent="0.25">
      <c r="A6" s="20" t="s">
        <v>19</v>
      </c>
      <c r="B6" s="325" t="s">
        <v>377</v>
      </c>
      <c r="C6" s="509">
        <v>103000</v>
      </c>
      <c r="D6" s="509">
        <v>116348</v>
      </c>
      <c r="E6" s="510">
        <v>117150</v>
      </c>
    </row>
    <row r="7" spans="1:5" s="458" customFormat="1" ht="12" customHeight="1" thickBot="1" x14ac:dyDescent="0.25">
      <c r="A7" s="20" t="s">
        <v>20</v>
      </c>
      <c r="B7" s="21" t="s">
        <v>385</v>
      </c>
      <c r="C7" s="509">
        <v>98670</v>
      </c>
      <c r="D7" s="509">
        <v>114457</v>
      </c>
      <c r="E7" s="510">
        <v>114500</v>
      </c>
    </row>
    <row r="8" spans="1:5" s="458" customFormat="1" ht="12" customHeight="1" thickBot="1" x14ac:dyDescent="0.25">
      <c r="A8" s="20" t="s">
        <v>170</v>
      </c>
      <c r="B8" s="21" t="s">
        <v>266</v>
      </c>
      <c r="C8" s="446">
        <v>97011</v>
      </c>
      <c r="D8" s="446">
        <v>97011</v>
      </c>
      <c r="E8" s="490">
        <v>97500</v>
      </c>
    </row>
    <row r="9" spans="1:5" s="458" customFormat="1" ht="12" customHeight="1" x14ac:dyDescent="0.2">
      <c r="A9" s="15" t="s">
        <v>267</v>
      </c>
      <c r="B9" s="459" t="s">
        <v>558</v>
      </c>
      <c r="C9" s="441"/>
      <c r="D9" s="441">
        <f>+D10+D11+D12</f>
        <v>0</v>
      </c>
      <c r="E9" s="298">
        <f>+E10+E11+E12</f>
        <v>0</v>
      </c>
    </row>
    <row r="10" spans="1:5" s="458" customFormat="1" ht="12" customHeight="1" x14ac:dyDescent="0.2">
      <c r="A10" s="14" t="s">
        <v>268</v>
      </c>
      <c r="B10" s="460" t="s">
        <v>559</v>
      </c>
      <c r="C10" s="440"/>
      <c r="D10" s="440"/>
      <c r="E10" s="297"/>
    </row>
    <row r="11" spans="1:5" s="458" customFormat="1" ht="12" customHeight="1" x14ac:dyDescent="0.2">
      <c r="A11" s="14" t="s">
        <v>269</v>
      </c>
      <c r="B11" s="460" t="s">
        <v>560</v>
      </c>
      <c r="C11" s="440"/>
      <c r="D11" s="440"/>
      <c r="E11" s="297"/>
    </row>
    <row r="12" spans="1:5" s="458" customFormat="1" ht="12" customHeight="1" x14ac:dyDescent="0.2">
      <c r="A12" s="14" t="s">
        <v>270</v>
      </c>
      <c r="B12" s="460" t="s">
        <v>561</v>
      </c>
      <c r="C12" s="440"/>
      <c r="D12" s="440"/>
      <c r="E12" s="297"/>
    </row>
    <row r="13" spans="1:5" s="458" customFormat="1" ht="12" customHeight="1" x14ac:dyDescent="0.2">
      <c r="A13" s="14" t="s">
        <v>555</v>
      </c>
      <c r="B13" s="460" t="s">
        <v>271</v>
      </c>
      <c r="C13" s="440"/>
      <c r="D13" s="440"/>
      <c r="E13" s="297"/>
    </row>
    <row r="14" spans="1:5" s="458" customFormat="1" ht="12" customHeight="1" x14ac:dyDescent="0.2">
      <c r="A14" s="14" t="s">
        <v>556</v>
      </c>
      <c r="B14" s="460" t="s">
        <v>272</v>
      </c>
      <c r="C14" s="440"/>
      <c r="D14" s="440"/>
      <c r="E14" s="297"/>
    </row>
    <row r="15" spans="1:5" s="458" customFormat="1" ht="12" customHeight="1" thickBot="1" x14ac:dyDescent="0.25">
      <c r="A15" s="16" t="s">
        <v>557</v>
      </c>
      <c r="B15" s="461" t="s">
        <v>273</v>
      </c>
      <c r="C15" s="442"/>
      <c r="D15" s="442"/>
      <c r="E15" s="299"/>
    </row>
    <row r="16" spans="1:5" s="458" customFormat="1" ht="12" customHeight="1" thickBot="1" x14ac:dyDescent="0.25">
      <c r="A16" s="20" t="s">
        <v>22</v>
      </c>
      <c r="B16" s="21" t="s">
        <v>537</v>
      </c>
      <c r="C16" s="509">
        <v>154866</v>
      </c>
      <c r="D16" s="509">
        <v>179645</v>
      </c>
      <c r="E16" s="510">
        <v>180324</v>
      </c>
    </row>
    <row r="17" spans="1:6" s="458" customFormat="1" ht="12" customHeight="1" thickBot="1" x14ac:dyDescent="0.25">
      <c r="A17" s="20" t="s">
        <v>23</v>
      </c>
      <c r="B17" s="21" t="s">
        <v>9</v>
      </c>
      <c r="C17" s="509">
        <v>18000</v>
      </c>
      <c r="D17" s="509">
        <v>20880</v>
      </c>
      <c r="E17" s="510">
        <v>22000</v>
      </c>
    </row>
    <row r="18" spans="1:6" s="458" customFormat="1" ht="12" customHeight="1" thickBot="1" x14ac:dyDescent="0.25">
      <c r="A18" s="20" t="s">
        <v>177</v>
      </c>
      <c r="B18" s="21" t="s">
        <v>536</v>
      </c>
      <c r="C18" s="509">
        <v>34500</v>
      </c>
      <c r="D18" s="509">
        <v>38900</v>
      </c>
      <c r="E18" s="510">
        <v>39800</v>
      </c>
    </row>
    <row r="19" spans="1:6" s="458" customFormat="1" ht="12" customHeight="1" thickBot="1" x14ac:dyDescent="0.25">
      <c r="A19" s="20" t="s">
        <v>25</v>
      </c>
      <c r="B19" s="325" t="s">
        <v>535</v>
      </c>
      <c r="C19" s="509">
        <v>22387</v>
      </c>
      <c r="D19" s="509">
        <v>25969</v>
      </c>
      <c r="E19" s="510">
        <v>26200</v>
      </c>
    </row>
    <row r="20" spans="1:6" s="458" customFormat="1" ht="12" customHeight="1" thickBot="1" x14ac:dyDescent="0.25">
      <c r="A20" s="20" t="s">
        <v>26</v>
      </c>
      <c r="B20" s="21" t="s">
        <v>306</v>
      </c>
      <c r="C20" s="446">
        <v>1718851</v>
      </c>
      <c r="D20" s="446">
        <f>+D5+D6+D7+D8+D16+D17+D18+D19</f>
        <v>1974094</v>
      </c>
      <c r="E20" s="336">
        <f>+E5+E6+E7+E8+E16+E17+E18+E19</f>
        <v>1978374</v>
      </c>
    </row>
    <row r="21" spans="1:6" s="458" customFormat="1" ht="12" customHeight="1" thickBot="1" x14ac:dyDescent="0.25">
      <c r="A21" s="20" t="s">
        <v>27</v>
      </c>
      <c r="B21" s="21" t="s">
        <v>538</v>
      </c>
      <c r="C21" s="560">
        <v>83000</v>
      </c>
      <c r="D21" s="560">
        <v>83201</v>
      </c>
      <c r="E21" s="561">
        <v>83201</v>
      </c>
    </row>
    <row r="22" spans="1:6" s="458" customFormat="1" ht="12" customHeight="1" thickBot="1" x14ac:dyDescent="0.25">
      <c r="A22" s="20" t="s">
        <v>28</v>
      </c>
      <c r="B22" s="21" t="s">
        <v>539</v>
      </c>
      <c r="C22" s="446">
        <f>+C20+C21</f>
        <v>1801851</v>
      </c>
      <c r="D22" s="446">
        <f>+D20+D21</f>
        <v>2057295</v>
      </c>
      <c r="E22" s="490">
        <f>+E20+E21</f>
        <v>2061575</v>
      </c>
    </row>
    <row r="23" spans="1:6" s="458" customFormat="1" ht="12" customHeight="1" x14ac:dyDescent="0.2">
      <c r="A23" s="408"/>
      <c r="B23" s="409"/>
      <c r="C23" s="410"/>
      <c r="D23" s="557"/>
      <c r="E23" s="558"/>
    </row>
    <row r="24" spans="1:6" s="458" customFormat="1" ht="12" customHeight="1" x14ac:dyDescent="0.2">
      <c r="A24" s="669" t="s">
        <v>47</v>
      </c>
      <c r="B24" s="669"/>
      <c r="C24" s="669"/>
      <c r="D24" s="669"/>
      <c r="E24" s="669"/>
    </row>
    <row r="25" spans="1:6" s="458" customFormat="1" ht="12" customHeight="1" thickBot="1" x14ac:dyDescent="0.25">
      <c r="A25" s="671" t="s">
        <v>153</v>
      </c>
      <c r="B25" s="671"/>
      <c r="C25" s="423"/>
      <c r="D25" s="165"/>
      <c r="E25" s="340" t="s">
        <v>226</v>
      </c>
    </row>
    <row r="26" spans="1:6" s="458" customFormat="1" ht="24" customHeight="1" thickBot="1" x14ac:dyDescent="0.25">
      <c r="A26" s="23" t="s">
        <v>16</v>
      </c>
      <c r="B26" s="24" t="s">
        <v>48</v>
      </c>
      <c r="C26" s="24" t="str">
        <f>+C3</f>
        <v>2019. évi</v>
      </c>
      <c r="D26" s="24" t="str">
        <f>+D3</f>
        <v>2020. évi</v>
      </c>
      <c r="E26" s="186" t="str">
        <f>+E3</f>
        <v>2021. évi</v>
      </c>
      <c r="F26" s="559"/>
    </row>
    <row r="27" spans="1:6" s="458" customFormat="1" ht="12" customHeight="1" thickBot="1" x14ac:dyDescent="0.25">
      <c r="A27" s="451" t="s">
        <v>495</v>
      </c>
      <c r="B27" s="452" t="s">
        <v>496</v>
      </c>
      <c r="C27" s="452" t="s">
        <v>497</v>
      </c>
      <c r="D27" s="452" t="s">
        <v>499</v>
      </c>
      <c r="E27" s="553" t="s">
        <v>498</v>
      </c>
      <c r="F27" s="559"/>
    </row>
    <row r="28" spans="1:6" s="458" customFormat="1" ht="15" customHeight="1" thickBot="1" x14ac:dyDescent="0.25">
      <c r="A28" s="20" t="s">
        <v>18</v>
      </c>
      <c r="B28" s="30" t="s">
        <v>540</v>
      </c>
      <c r="C28" s="509">
        <v>1538623</v>
      </c>
      <c r="D28" s="509">
        <v>1784803</v>
      </c>
      <c r="E28" s="505">
        <v>1785784</v>
      </c>
      <c r="F28" s="559"/>
    </row>
    <row r="29" spans="1:6" ht="12" customHeight="1" thickBot="1" x14ac:dyDescent="0.3">
      <c r="A29" s="531" t="s">
        <v>19</v>
      </c>
      <c r="B29" s="554" t="s">
        <v>545</v>
      </c>
      <c r="C29" s="555">
        <f>+C30+C31+C32</f>
        <v>87338</v>
      </c>
      <c r="D29" s="555">
        <f>+D30+D31+D32</f>
        <v>101312</v>
      </c>
      <c r="E29" s="556">
        <f>+E30+E31+E32</f>
        <v>102900</v>
      </c>
    </row>
    <row r="30" spans="1:6" ht="12" customHeight="1" x14ac:dyDescent="0.25">
      <c r="A30" s="15" t="s">
        <v>105</v>
      </c>
      <c r="B30" s="8" t="s">
        <v>225</v>
      </c>
      <c r="C30" s="441">
        <v>62700</v>
      </c>
      <c r="D30" s="441">
        <v>72732</v>
      </c>
      <c r="E30" s="298">
        <v>73800</v>
      </c>
    </row>
    <row r="31" spans="1:6" ht="12" customHeight="1" x14ac:dyDescent="0.25">
      <c r="A31" s="15" t="s">
        <v>106</v>
      </c>
      <c r="B31" s="12" t="s">
        <v>184</v>
      </c>
      <c r="C31" s="440">
        <v>16142</v>
      </c>
      <c r="D31" s="440">
        <v>18725</v>
      </c>
      <c r="E31" s="297">
        <v>19100</v>
      </c>
    </row>
    <row r="32" spans="1:6" ht="12" customHeight="1" thickBot="1" x14ac:dyDescent="0.3">
      <c r="A32" s="15" t="s">
        <v>107</v>
      </c>
      <c r="B32" s="327" t="s">
        <v>228</v>
      </c>
      <c r="C32" s="440">
        <v>8496</v>
      </c>
      <c r="D32" s="440">
        <v>9855</v>
      </c>
      <c r="E32" s="297">
        <v>10000</v>
      </c>
    </row>
    <row r="33" spans="1:7" ht="12" customHeight="1" thickBot="1" x14ac:dyDescent="0.3">
      <c r="A33" s="20" t="s">
        <v>20</v>
      </c>
      <c r="B33" s="150" t="s">
        <v>451</v>
      </c>
      <c r="C33" s="439">
        <f>+C28+C29</f>
        <v>1625961</v>
      </c>
      <c r="D33" s="439">
        <f>+D28+D29</f>
        <v>1886115</v>
      </c>
      <c r="E33" s="296">
        <f>+E28+E29</f>
        <v>1888684</v>
      </c>
    </row>
    <row r="34" spans="1:7" ht="15" customHeight="1" thickBot="1" x14ac:dyDescent="0.3">
      <c r="A34" s="20" t="s">
        <v>21</v>
      </c>
      <c r="B34" s="150" t="s">
        <v>541</v>
      </c>
      <c r="C34" s="562">
        <f>C22-C33</f>
        <v>175890</v>
      </c>
      <c r="D34" s="562">
        <f>D22-D33</f>
        <v>171180</v>
      </c>
      <c r="E34" s="563">
        <f>E22-E33</f>
        <v>172891</v>
      </c>
      <c r="F34" s="471"/>
    </row>
    <row r="35" spans="1:7" s="458" customFormat="1" ht="12.95" customHeight="1" thickBot="1" x14ac:dyDescent="0.25">
      <c r="A35" s="328" t="s">
        <v>22</v>
      </c>
      <c r="B35" s="421" t="s">
        <v>542</v>
      </c>
      <c r="C35" s="552">
        <f>+C33+C34</f>
        <v>1801851</v>
      </c>
      <c r="D35" s="552">
        <f>+D33+D34</f>
        <v>2057295</v>
      </c>
      <c r="E35" s="546">
        <f>+E33+E34</f>
        <v>2061575</v>
      </c>
    </row>
    <row r="36" spans="1:7" x14ac:dyDescent="0.25">
      <c r="C36" s="422"/>
    </row>
    <row r="37" spans="1:7" x14ac:dyDescent="0.25">
      <c r="C37" s="422"/>
    </row>
    <row r="38" spans="1:7" x14ac:dyDescent="0.25">
      <c r="C38" s="422"/>
    </row>
    <row r="39" spans="1:7" ht="16.5" customHeight="1" x14ac:dyDescent="0.25">
      <c r="C39" s="422"/>
    </row>
    <row r="40" spans="1:7" x14ac:dyDescent="0.25">
      <c r="C40" s="422"/>
    </row>
    <row r="41" spans="1:7" x14ac:dyDescent="0.25">
      <c r="C41" s="422"/>
    </row>
    <row r="42" spans="1:7" s="422" customFormat="1" x14ac:dyDescent="0.25">
      <c r="F42" s="456"/>
      <c r="G42" s="456"/>
    </row>
    <row r="43" spans="1:7" s="422" customFormat="1" x14ac:dyDescent="0.25">
      <c r="F43" s="456"/>
      <c r="G43" s="456"/>
    </row>
    <row r="44" spans="1:7" s="422" customFormat="1" x14ac:dyDescent="0.25">
      <c r="F44" s="456"/>
      <c r="G44" s="456"/>
    </row>
    <row r="45" spans="1:7" s="422" customFormat="1" x14ac:dyDescent="0.25">
      <c r="F45" s="456"/>
      <c r="G45" s="456"/>
    </row>
    <row r="46" spans="1:7" s="422" customFormat="1" x14ac:dyDescent="0.25">
      <c r="F46" s="456"/>
      <c r="G46" s="456"/>
    </row>
    <row r="47" spans="1:7" s="422" customFormat="1" x14ac:dyDescent="0.25">
      <c r="F47" s="456"/>
      <c r="G47" s="456"/>
    </row>
    <row r="48" spans="1:7" s="422" customFormat="1" x14ac:dyDescent="0.25">
      <c r="F48" s="456"/>
      <c r="G48" s="456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2018.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30" zoomScaleSheetLayoutView="100" workbookViewId="0">
      <selection activeCell="B9" sqref="B9"/>
    </sheetView>
  </sheetViews>
  <sheetFormatPr defaultRowHeight="15.75" x14ac:dyDescent="0.25"/>
  <cols>
    <col min="1" max="1" width="9.5" style="422" customWidth="1"/>
    <col min="2" max="2" width="91.6640625" style="422" customWidth="1"/>
    <col min="3" max="3" width="21.6640625" style="423" customWidth="1"/>
    <col min="4" max="4" width="9" style="456" customWidth="1"/>
    <col min="5" max="16384" width="9.33203125" style="456"/>
  </cols>
  <sheetData>
    <row r="1" spans="1:3" ht="15.95" customHeight="1" x14ac:dyDescent="0.25">
      <c r="A1" s="669" t="s">
        <v>15</v>
      </c>
      <c r="B1" s="669"/>
      <c r="C1" s="669"/>
    </row>
    <row r="2" spans="1:3" ht="15.95" customHeight="1" thickBot="1" x14ac:dyDescent="0.3">
      <c r="A2" s="670" t="s">
        <v>152</v>
      </c>
      <c r="B2" s="670"/>
      <c r="C2" s="340" t="s">
        <v>578</v>
      </c>
    </row>
    <row r="3" spans="1:3" ht="38.1" customHeight="1" thickBot="1" x14ac:dyDescent="0.3">
      <c r="A3" s="23" t="s">
        <v>70</v>
      </c>
      <c r="B3" s="24" t="s">
        <v>17</v>
      </c>
      <c r="C3" s="44" t="str">
        <f>+CONCATENATE(LEFT(ÖSSZEFÜGGÉSEK!A5,4),". évi előirányzat")</f>
        <v>2018. évi előirányzat</v>
      </c>
    </row>
    <row r="4" spans="1:3" s="457" customFormat="1" ht="12" customHeight="1" thickBot="1" x14ac:dyDescent="0.25">
      <c r="A4" s="451"/>
      <c r="B4" s="452" t="s">
        <v>495</v>
      </c>
      <c r="C4" s="453" t="s">
        <v>496</v>
      </c>
    </row>
    <row r="5" spans="1:3" s="458" customFormat="1" ht="12" customHeight="1" thickBot="1" x14ac:dyDescent="0.25">
      <c r="A5" s="20" t="s">
        <v>18</v>
      </c>
      <c r="B5" s="21" t="s">
        <v>251</v>
      </c>
      <c r="C5" s="330">
        <f>+C6+C7+C8+C9+C10+C11</f>
        <v>0</v>
      </c>
    </row>
    <row r="6" spans="1:3" s="458" customFormat="1" ht="12" customHeight="1" x14ac:dyDescent="0.2">
      <c r="A6" s="15" t="s">
        <v>99</v>
      </c>
      <c r="B6" s="459" t="s">
        <v>252</v>
      </c>
      <c r="C6" s="333"/>
    </row>
    <row r="7" spans="1:3" s="458" customFormat="1" ht="12" customHeight="1" x14ac:dyDescent="0.2">
      <c r="A7" s="14" t="s">
        <v>100</v>
      </c>
      <c r="B7" s="460" t="s">
        <v>253</v>
      </c>
      <c r="C7" s="332"/>
    </row>
    <row r="8" spans="1:3" s="458" customFormat="1" ht="12" customHeight="1" x14ac:dyDescent="0.2">
      <c r="A8" s="14" t="s">
        <v>101</v>
      </c>
      <c r="B8" s="460" t="s">
        <v>553</v>
      </c>
      <c r="C8" s="332"/>
    </row>
    <row r="9" spans="1:3" s="458" customFormat="1" ht="12" customHeight="1" x14ac:dyDescent="0.2">
      <c r="A9" s="14" t="s">
        <v>102</v>
      </c>
      <c r="B9" s="460" t="s">
        <v>255</v>
      </c>
      <c r="C9" s="332"/>
    </row>
    <row r="10" spans="1:3" s="458" customFormat="1" ht="12" customHeight="1" x14ac:dyDescent="0.2">
      <c r="A10" s="14" t="s">
        <v>148</v>
      </c>
      <c r="B10" s="326" t="s">
        <v>435</v>
      </c>
      <c r="C10" s="332"/>
    </row>
    <row r="11" spans="1:3" s="458" customFormat="1" ht="12" customHeight="1" thickBot="1" x14ac:dyDescent="0.25">
      <c r="A11" s="16" t="s">
        <v>103</v>
      </c>
      <c r="B11" s="327" t="s">
        <v>436</v>
      </c>
      <c r="C11" s="332"/>
    </row>
    <row r="12" spans="1:3" s="458" customFormat="1" ht="12" customHeight="1" thickBot="1" x14ac:dyDescent="0.25">
      <c r="A12" s="20" t="s">
        <v>19</v>
      </c>
      <c r="B12" s="325" t="s">
        <v>256</v>
      </c>
      <c r="C12" s="330">
        <f>+C13+C14+C15+C16+C17</f>
        <v>0</v>
      </c>
    </row>
    <row r="13" spans="1:3" s="458" customFormat="1" ht="12" customHeight="1" x14ac:dyDescent="0.2">
      <c r="A13" s="15" t="s">
        <v>105</v>
      </c>
      <c r="B13" s="459" t="s">
        <v>257</v>
      </c>
      <c r="C13" s="333"/>
    </row>
    <row r="14" spans="1:3" s="458" customFormat="1" ht="12" customHeight="1" x14ac:dyDescent="0.2">
      <c r="A14" s="14" t="s">
        <v>106</v>
      </c>
      <c r="B14" s="460" t="s">
        <v>258</v>
      </c>
      <c r="C14" s="332"/>
    </row>
    <row r="15" spans="1:3" s="458" customFormat="1" ht="12" customHeight="1" x14ac:dyDescent="0.2">
      <c r="A15" s="14" t="s">
        <v>107</v>
      </c>
      <c r="B15" s="460" t="s">
        <v>425</v>
      </c>
      <c r="C15" s="332"/>
    </row>
    <row r="16" spans="1:3" s="458" customFormat="1" ht="12" customHeight="1" x14ac:dyDescent="0.2">
      <c r="A16" s="14" t="s">
        <v>108</v>
      </c>
      <c r="B16" s="460" t="s">
        <v>426</v>
      </c>
      <c r="C16" s="332"/>
    </row>
    <row r="17" spans="1:3" s="458" customFormat="1" ht="12" customHeight="1" x14ac:dyDescent="0.2">
      <c r="A17" s="14" t="s">
        <v>109</v>
      </c>
      <c r="B17" s="460" t="s">
        <v>259</v>
      </c>
      <c r="C17" s="332"/>
    </row>
    <row r="18" spans="1:3" s="458" customFormat="1" ht="12" customHeight="1" thickBot="1" x14ac:dyDescent="0.25">
      <c r="A18" s="16" t="s">
        <v>118</v>
      </c>
      <c r="B18" s="327" t="s">
        <v>260</v>
      </c>
      <c r="C18" s="334"/>
    </row>
    <row r="19" spans="1:3" s="458" customFormat="1" ht="12" customHeight="1" thickBot="1" x14ac:dyDescent="0.25">
      <c r="A19" s="20" t="s">
        <v>20</v>
      </c>
      <c r="B19" s="21" t="s">
        <v>261</v>
      </c>
      <c r="C19" s="330">
        <f>+C20+C21+C22+C23+C24</f>
        <v>0</v>
      </c>
    </row>
    <row r="20" spans="1:3" s="458" customFormat="1" ht="12" customHeight="1" x14ac:dyDescent="0.2">
      <c r="A20" s="15" t="s">
        <v>88</v>
      </c>
      <c r="B20" s="459" t="s">
        <v>262</v>
      </c>
      <c r="C20" s="333"/>
    </row>
    <row r="21" spans="1:3" s="458" customFormat="1" ht="12" customHeight="1" x14ac:dyDescent="0.2">
      <c r="A21" s="14" t="s">
        <v>89</v>
      </c>
      <c r="B21" s="460" t="s">
        <v>263</v>
      </c>
      <c r="C21" s="332"/>
    </row>
    <row r="22" spans="1:3" s="458" customFormat="1" ht="12" customHeight="1" x14ac:dyDescent="0.2">
      <c r="A22" s="14" t="s">
        <v>90</v>
      </c>
      <c r="B22" s="460" t="s">
        <v>427</v>
      </c>
      <c r="C22" s="332"/>
    </row>
    <row r="23" spans="1:3" s="458" customFormat="1" ht="12" customHeight="1" x14ac:dyDescent="0.2">
      <c r="A23" s="14" t="s">
        <v>91</v>
      </c>
      <c r="B23" s="460" t="s">
        <v>428</v>
      </c>
      <c r="C23" s="332"/>
    </row>
    <row r="24" spans="1:3" s="458" customFormat="1" ht="12" customHeight="1" x14ac:dyDescent="0.2">
      <c r="A24" s="14" t="s">
        <v>168</v>
      </c>
      <c r="B24" s="460" t="s">
        <v>264</v>
      </c>
      <c r="C24" s="332"/>
    </row>
    <row r="25" spans="1:3" s="458" customFormat="1" ht="12" customHeight="1" thickBot="1" x14ac:dyDescent="0.25">
      <c r="A25" s="16" t="s">
        <v>169</v>
      </c>
      <c r="B25" s="461" t="s">
        <v>265</v>
      </c>
      <c r="C25" s="334"/>
    </row>
    <row r="26" spans="1:3" s="458" customFormat="1" ht="12" customHeight="1" thickBot="1" x14ac:dyDescent="0.25">
      <c r="A26" s="20" t="s">
        <v>170</v>
      </c>
      <c r="B26" s="21" t="s">
        <v>563</v>
      </c>
      <c r="C26" s="336">
        <f>SUM(C27:C34)</f>
        <v>0</v>
      </c>
    </row>
    <row r="27" spans="1:3" s="458" customFormat="1" ht="12" customHeight="1" x14ac:dyDescent="0.2">
      <c r="A27" s="15" t="s">
        <v>267</v>
      </c>
      <c r="B27" s="459" t="s">
        <v>558</v>
      </c>
      <c r="C27" s="333"/>
    </row>
    <row r="28" spans="1:3" s="458" customFormat="1" ht="12" customHeight="1" x14ac:dyDescent="0.2">
      <c r="A28" s="14" t="s">
        <v>268</v>
      </c>
      <c r="B28" s="460" t="s">
        <v>559</v>
      </c>
      <c r="C28" s="332"/>
    </row>
    <row r="29" spans="1:3" s="458" customFormat="1" ht="12" customHeight="1" x14ac:dyDescent="0.2">
      <c r="A29" s="14" t="s">
        <v>269</v>
      </c>
      <c r="B29" s="460" t="s">
        <v>712</v>
      </c>
      <c r="C29" s="332"/>
    </row>
    <row r="30" spans="1:3" s="458" customFormat="1" ht="12" customHeight="1" x14ac:dyDescent="0.2">
      <c r="A30" s="14" t="s">
        <v>270</v>
      </c>
      <c r="B30" s="460" t="s">
        <v>560</v>
      </c>
      <c r="C30" s="332"/>
    </row>
    <row r="31" spans="1:3" s="458" customFormat="1" ht="12" customHeight="1" x14ac:dyDescent="0.2">
      <c r="A31" s="14" t="s">
        <v>555</v>
      </c>
      <c r="B31" s="460" t="s">
        <v>561</v>
      </c>
      <c r="C31" s="332"/>
    </row>
    <row r="32" spans="1:3" s="458" customFormat="1" ht="12" customHeight="1" x14ac:dyDescent="0.2">
      <c r="A32" s="14" t="s">
        <v>556</v>
      </c>
      <c r="B32" s="460" t="s">
        <v>271</v>
      </c>
      <c r="C32" s="332"/>
    </row>
    <row r="33" spans="1:3" s="458" customFormat="1" ht="12" customHeight="1" x14ac:dyDescent="0.2">
      <c r="A33" s="16" t="s">
        <v>557</v>
      </c>
      <c r="B33" s="460" t="s">
        <v>272</v>
      </c>
      <c r="C33" s="332"/>
    </row>
    <row r="34" spans="1:3" s="458" customFormat="1" ht="12" customHeight="1" thickBot="1" x14ac:dyDescent="0.25">
      <c r="A34" s="16" t="s">
        <v>713</v>
      </c>
      <c r="B34" s="564" t="s">
        <v>273</v>
      </c>
      <c r="C34" s="334"/>
    </row>
    <row r="35" spans="1:3" s="458" customFormat="1" ht="12" customHeight="1" thickBot="1" x14ac:dyDescent="0.25">
      <c r="A35" s="20" t="s">
        <v>22</v>
      </c>
      <c r="B35" s="21" t="s">
        <v>437</v>
      </c>
      <c r="C35" s="330">
        <f>SUM(C36:C46)</f>
        <v>0</v>
      </c>
    </row>
    <row r="36" spans="1:3" s="458" customFormat="1" ht="12" customHeight="1" x14ac:dyDescent="0.2">
      <c r="A36" s="15" t="s">
        <v>92</v>
      </c>
      <c r="B36" s="459" t="s">
        <v>276</v>
      </c>
      <c r="C36" s="333"/>
    </row>
    <row r="37" spans="1:3" s="458" customFormat="1" ht="12" customHeight="1" x14ac:dyDescent="0.2">
      <c r="A37" s="14" t="s">
        <v>93</v>
      </c>
      <c r="B37" s="460" t="s">
        <v>277</v>
      </c>
      <c r="C37" s="332"/>
    </row>
    <row r="38" spans="1:3" s="458" customFormat="1" ht="12" customHeight="1" x14ac:dyDescent="0.2">
      <c r="A38" s="14" t="s">
        <v>94</v>
      </c>
      <c r="B38" s="460" t="s">
        <v>278</v>
      </c>
      <c r="C38" s="332"/>
    </row>
    <row r="39" spans="1:3" s="458" customFormat="1" ht="12" customHeight="1" x14ac:dyDescent="0.2">
      <c r="A39" s="14" t="s">
        <v>172</v>
      </c>
      <c r="B39" s="460" t="s">
        <v>279</v>
      </c>
      <c r="C39" s="332"/>
    </row>
    <row r="40" spans="1:3" s="458" customFormat="1" ht="12" customHeight="1" x14ac:dyDescent="0.2">
      <c r="A40" s="14" t="s">
        <v>173</v>
      </c>
      <c r="B40" s="460" t="s">
        <v>280</v>
      </c>
      <c r="C40" s="332"/>
    </row>
    <row r="41" spans="1:3" s="458" customFormat="1" ht="12" customHeight="1" x14ac:dyDescent="0.2">
      <c r="A41" s="14" t="s">
        <v>174</v>
      </c>
      <c r="B41" s="460" t="s">
        <v>281</v>
      </c>
      <c r="C41" s="332"/>
    </row>
    <row r="42" spans="1:3" s="458" customFormat="1" ht="12" customHeight="1" x14ac:dyDescent="0.2">
      <c r="A42" s="14" t="s">
        <v>175</v>
      </c>
      <c r="B42" s="460" t="s">
        <v>282</v>
      </c>
      <c r="C42" s="332"/>
    </row>
    <row r="43" spans="1:3" s="458" customFormat="1" ht="12" customHeight="1" x14ac:dyDescent="0.2">
      <c r="A43" s="14" t="s">
        <v>176</v>
      </c>
      <c r="B43" s="460" t="s">
        <v>562</v>
      </c>
      <c r="C43" s="332"/>
    </row>
    <row r="44" spans="1:3" s="458" customFormat="1" ht="12" customHeight="1" x14ac:dyDescent="0.2">
      <c r="A44" s="14" t="s">
        <v>274</v>
      </c>
      <c r="B44" s="460" t="s">
        <v>284</v>
      </c>
      <c r="C44" s="335"/>
    </row>
    <row r="45" spans="1:3" s="458" customFormat="1" ht="12" customHeight="1" x14ac:dyDescent="0.2">
      <c r="A45" s="16" t="s">
        <v>275</v>
      </c>
      <c r="B45" s="461" t="s">
        <v>439</v>
      </c>
      <c r="C45" s="445"/>
    </row>
    <row r="46" spans="1:3" s="458" customFormat="1" ht="12" customHeight="1" thickBot="1" x14ac:dyDescent="0.25">
      <c r="A46" s="16" t="s">
        <v>438</v>
      </c>
      <c r="B46" s="327" t="s">
        <v>285</v>
      </c>
      <c r="C46" s="445"/>
    </row>
    <row r="47" spans="1:3" s="458" customFormat="1" ht="12" customHeight="1" thickBot="1" x14ac:dyDescent="0.25">
      <c r="A47" s="20" t="s">
        <v>23</v>
      </c>
      <c r="B47" s="21" t="s">
        <v>286</v>
      </c>
      <c r="C47" s="330">
        <f>SUM(C48:C52)</f>
        <v>0</v>
      </c>
    </row>
    <row r="48" spans="1:3" s="458" customFormat="1" ht="12" customHeight="1" x14ac:dyDescent="0.2">
      <c r="A48" s="15" t="s">
        <v>95</v>
      </c>
      <c r="B48" s="459" t="s">
        <v>290</v>
      </c>
      <c r="C48" s="504"/>
    </row>
    <row r="49" spans="1:3" s="458" customFormat="1" ht="12" customHeight="1" x14ac:dyDescent="0.2">
      <c r="A49" s="14" t="s">
        <v>96</v>
      </c>
      <c r="B49" s="460" t="s">
        <v>291</v>
      </c>
      <c r="C49" s="335"/>
    </row>
    <row r="50" spans="1:3" s="458" customFormat="1" ht="12" customHeight="1" x14ac:dyDescent="0.2">
      <c r="A50" s="14" t="s">
        <v>287</v>
      </c>
      <c r="B50" s="460" t="s">
        <v>292</v>
      </c>
      <c r="C50" s="335"/>
    </row>
    <row r="51" spans="1:3" s="458" customFormat="1" ht="12" customHeight="1" x14ac:dyDescent="0.2">
      <c r="A51" s="14" t="s">
        <v>288</v>
      </c>
      <c r="B51" s="460" t="s">
        <v>293</v>
      </c>
      <c r="C51" s="335"/>
    </row>
    <row r="52" spans="1:3" s="458" customFormat="1" ht="12" customHeight="1" thickBot="1" x14ac:dyDescent="0.25">
      <c r="A52" s="16" t="s">
        <v>289</v>
      </c>
      <c r="B52" s="327" t="s">
        <v>294</v>
      </c>
      <c r="C52" s="445"/>
    </row>
    <row r="53" spans="1:3" s="458" customFormat="1" ht="12" customHeight="1" thickBot="1" x14ac:dyDescent="0.25">
      <c r="A53" s="20" t="s">
        <v>177</v>
      </c>
      <c r="B53" s="21" t="s">
        <v>295</v>
      </c>
      <c r="C53" s="330">
        <f>SUM(C54:C56)</f>
        <v>0</v>
      </c>
    </row>
    <row r="54" spans="1:3" s="458" customFormat="1" ht="12" customHeight="1" x14ac:dyDescent="0.2">
      <c r="A54" s="15" t="s">
        <v>97</v>
      </c>
      <c r="B54" s="459" t="s">
        <v>296</v>
      </c>
      <c r="C54" s="333"/>
    </row>
    <row r="55" spans="1:3" s="458" customFormat="1" ht="12" customHeight="1" x14ac:dyDescent="0.2">
      <c r="A55" s="14" t="s">
        <v>98</v>
      </c>
      <c r="B55" s="460" t="s">
        <v>429</v>
      </c>
      <c r="C55" s="332"/>
    </row>
    <row r="56" spans="1:3" s="458" customFormat="1" ht="12" customHeight="1" x14ac:dyDescent="0.2">
      <c r="A56" s="14" t="s">
        <v>299</v>
      </c>
      <c r="B56" s="460" t="s">
        <v>297</v>
      </c>
      <c r="C56" s="332"/>
    </row>
    <row r="57" spans="1:3" s="458" customFormat="1" ht="12" customHeight="1" thickBot="1" x14ac:dyDescent="0.25">
      <c r="A57" s="16" t="s">
        <v>300</v>
      </c>
      <c r="B57" s="327" t="s">
        <v>298</v>
      </c>
      <c r="C57" s="334"/>
    </row>
    <row r="58" spans="1:3" s="458" customFormat="1" ht="12" customHeight="1" thickBot="1" x14ac:dyDescent="0.25">
      <c r="A58" s="20" t="s">
        <v>25</v>
      </c>
      <c r="B58" s="325" t="s">
        <v>301</v>
      </c>
      <c r="C58" s="330">
        <f>SUM(C59:C61)</f>
        <v>0</v>
      </c>
    </row>
    <row r="59" spans="1:3" s="458" customFormat="1" ht="12" customHeight="1" x14ac:dyDescent="0.2">
      <c r="A59" s="15" t="s">
        <v>178</v>
      </c>
      <c r="B59" s="459" t="s">
        <v>303</v>
      </c>
      <c r="C59" s="335"/>
    </row>
    <row r="60" spans="1:3" s="458" customFormat="1" ht="12" customHeight="1" x14ac:dyDescent="0.2">
      <c r="A60" s="14" t="s">
        <v>179</v>
      </c>
      <c r="B60" s="460" t="s">
        <v>430</v>
      </c>
      <c r="C60" s="335"/>
    </row>
    <row r="61" spans="1:3" s="458" customFormat="1" ht="12" customHeight="1" x14ac:dyDescent="0.2">
      <c r="A61" s="14" t="s">
        <v>227</v>
      </c>
      <c r="B61" s="460" t="s">
        <v>304</v>
      </c>
      <c r="C61" s="335"/>
    </row>
    <row r="62" spans="1:3" s="458" customFormat="1" ht="12" customHeight="1" thickBot="1" x14ac:dyDescent="0.25">
      <c r="A62" s="16" t="s">
        <v>302</v>
      </c>
      <c r="B62" s="327" t="s">
        <v>305</v>
      </c>
      <c r="C62" s="335"/>
    </row>
    <row r="63" spans="1:3" s="458" customFormat="1" ht="12" customHeight="1" thickBot="1" x14ac:dyDescent="0.25">
      <c r="A63" s="536" t="s">
        <v>479</v>
      </c>
      <c r="B63" s="21" t="s">
        <v>306</v>
      </c>
      <c r="C63" s="336">
        <f>+C5+C12+C19+C26+C35+C47+C53+C58</f>
        <v>0</v>
      </c>
    </row>
    <row r="64" spans="1:3" s="458" customFormat="1" ht="12" customHeight="1" thickBot="1" x14ac:dyDescent="0.25">
      <c r="A64" s="507" t="s">
        <v>307</v>
      </c>
      <c r="B64" s="325" t="s">
        <v>308</v>
      </c>
      <c r="C64" s="330">
        <f>SUM(C65:C67)</f>
        <v>0</v>
      </c>
    </row>
    <row r="65" spans="1:3" s="458" customFormat="1" ht="12" customHeight="1" x14ac:dyDescent="0.2">
      <c r="A65" s="15" t="s">
        <v>339</v>
      </c>
      <c r="B65" s="459" t="s">
        <v>309</v>
      </c>
      <c r="C65" s="335"/>
    </row>
    <row r="66" spans="1:3" s="458" customFormat="1" ht="12" customHeight="1" x14ac:dyDescent="0.2">
      <c r="A66" s="14" t="s">
        <v>348</v>
      </c>
      <c r="B66" s="460" t="s">
        <v>310</v>
      </c>
      <c r="C66" s="335"/>
    </row>
    <row r="67" spans="1:3" s="458" customFormat="1" ht="12" customHeight="1" thickBot="1" x14ac:dyDescent="0.25">
      <c r="A67" s="16" t="s">
        <v>349</v>
      </c>
      <c r="B67" s="530" t="s">
        <v>464</v>
      </c>
      <c r="C67" s="335"/>
    </row>
    <row r="68" spans="1:3" s="458" customFormat="1" ht="12" customHeight="1" thickBot="1" x14ac:dyDescent="0.25">
      <c r="A68" s="507" t="s">
        <v>312</v>
      </c>
      <c r="B68" s="325" t="s">
        <v>313</v>
      </c>
      <c r="C68" s="330">
        <f>SUM(C69:C72)</f>
        <v>0</v>
      </c>
    </row>
    <row r="69" spans="1:3" s="458" customFormat="1" ht="12" customHeight="1" x14ac:dyDescent="0.2">
      <c r="A69" s="15" t="s">
        <v>149</v>
      </c>
      <c r="B69" s="459" t="s">
        <v>314</v>
      </c>
      <c r="C69" s="335"/>
    </row>
    <row r="70" spans="1:3" s="458" customFormat="1" ht="12" customHeight="1" x14ac:dyDescent="0.2">
      <c r="A70" s="14" t="s">
        <v>150</v>
      </c>
      <c r="B70" s="460" t="s">
        <v>315</v>
      </c>
      <c r="C70" s="335"/>
    </row>
    <row r="71" spans="1:3" s="458" customFormat="1" ht="12" customHeight="1" x14ac:dyDescent="0.2">
      <c r="A71" s="14" t="s">
        <v>340</v>
      </c>
      <c r="B71" s="460" t="s">
        <v>316</v>
      </c>
      <c r="C71" s="335"/>
    </row>
    <row r="72" spans="1:3" s="458" customFormat="1" ht="12" customHeight="1" thickBot="1" x14ac:dyDescent="0.25">
      <c r="A72" s="16" t="s">
        <v>341</v>
      </c>
      <c r="B72" s="327" t="s">
        <v>317</v>
      </c>
      <c r="C72" s="335"/>
    </row>
    <row r="73" spans="1:3" s="458" customFormat="1" ht="12" customHeight="1" thickBot="1" x14ac:dyDescent="0.25">
      <c r="A73" s="507" t="s">
        <v>318</v>
      </c>
      <c r="B73" s="325" t="s">
        <v>319</v>
      </c>
      <c r="C73" s="330">
        <f>SUM(C74:C75)</f>
        <v>0</v>
      </c>
    </row>
    <row r="74" spans="1:3" s="458" customFormat="1" ht="12" customHeight="1" x14ac:dyDescent="0.2">
      <c r="A74" s="15" t="s">
        <v>342</v>
      </c>
      <c r="B74" s="459" t="s">
        <v>320</v>
      </c>
      <c r="C74" s="335"/>
    </row>
    <row r="75" spans="1:3" s="458" customFormat="1" ht="12" customHeight="1" thickBot="1" x14ac:dyDescent="0.25">
      <c r="A75" s="16" t="s">
        <v>343</v>
      </c>
      <c r="B75" s="327" t="s">
        <v>321</v>
      </c>
      <c r="C75" s="335"/>
    </row>
    <row r="76" spans="1:3" s="458" customFormat="1" ht="12" customHeight="1" thickBot="1" x14ac:dyDescent="0.25">
      <c r="A76" s="507" t="s">
        <v>322</v>
      </c>
      <c r="B76" s="325" t="s">
        <v>323</v>
      </c>
      <c r="C76" s="330">
        <f>SUM(C77:C79)</f>
        <v>0</v>
      </c>
    </row>
    <row r="77" spans="1:3" s="458" customFormat="1" ht="12" customHeight="1" x14ac:dyDescent="0.2">
      <c r="A77" s="15" t="s">
        <v>344</v>
      </c>
      <c r="B77" s="459" t="s">
        <v>324</v>
      </c>
      <c r="C77" s="335"/>
    </row>
    <row r="78" spans="1:3" s="458" customFormat="1" ht="12" customHeight="1" x14ac:dyDescent="0.2">
      <c r="A78" s="14" t="s">
        <v>345</v>
      </c>
      <c r="B78" s="460" t="s">
        <v>325</v>
      </c>
      <c r="C78" s="335"/>
    </row>
    <row r="79" spans="1:3" s="458" customFormat="1" ht="12" customHeight="1" thickBot="1" x14ac:dyDescent="0.25">
      <c r="A79" s="16" t="s">
        <v>346</v>
      </c>
      <c r="B79" s="327" t="s">
        <v>326</v>
      </c>
      <c r="C79" s="335"/>
    </row>
    <row r="80" spans="1:3" s="458" customFormat="1" ht="12" customHeight="1" thickBot="1" x14ac:dyDescent="0.25">
      <c r="A80" s="507" t="s">
        <v>327</v>
      </c>
      <c r="B80" s="325" t="s">
        <v>347</v>
      </c>
      <c r="C80" s="330">
        <f>SUM(C81:C84)</f>
        <v>0</v>
      </c>
    </row>
    <row r="81" spans="1:3" s="458" customFormat="1" ht="12" customHeight="1" x14ac:dyDescent="0.2">
      <c r="A81" s="463" t="s">
        <v>328</v>
      </c>
      <c r="B81" s="459" t="s">
        <v>329</v>
      </c>
      <c r="C81" s="335"/>
    </row>
    <row r="82" spans="1:3" s="458" customFormat="1" ht="12" customHeight="1" x14ac:dyDescent="0.2">
      <c r="A82" s="464" t="s">
        <v>330</v>
      </c>
      <c r="B82" s="460" t="s">
        <v>331</v>
      </c>
      <c r="C82" s="335"/>
    </row>
    <row r="83" spans="1:3" s="458" customFormat="1" ht="12" customHeight="1" x14ac:dyDescent="0.2">
      <c r="A83" s="464" t="s">
        <v>332</v>
      </c>
      <c r="B83" s="460" t="s">
        <v>333</v>
      </c>
      <c r="C83" s="335"/>
    </row>
    <row r="84" spans="1:3" s="458" customFormat="1" ht="12" customHeight="1" thickBot="1" x14ac:dyDescent="0.25">
      <c r="A84" s="465" t="s">
        <v>334</v>
      </c>
      <c r="B84" s="327" t="s">
        <v>335</v>
      </c>
      <c r="C84" s="335"/>
    </row>
    <row r="85" spans="1:3" s="458" customFormat="1" ht="12" customHeight="1" thickBot="1" x14ac:dyDescent="0.25">
      <c r="A85" s="507" t="s">
        <v>336</v>
      </c>
      <c r="B85" s="325" t="s">
        <v>478</v>
      </c>
      <c r="C85" s="505"/>
    </row>
    <row r="86" spans="1:3" s="458" customFormat="1" ht="13.5" customHeight="1" thickBot="1" x14ac:dyDescent="0.25">
      <c r="A86" s="507" t="s">
        <v>338</v>
      </c>
      <c r="B86" s="325" t="s">
        <v>337</v>
      </c>
      <c r="C86" s="505"/>
    </row>
    <row r="87" spans="1:3" s="458" customFormat="1" ht="15.75" customHeight="1" thickBot="1" x14ac:dyDescent="0.25">
      <c r="A87" s="507" t="s">
        <v>350</v>
      </c>
      <c r="B87" s="466" t="s">
        <v>481</v>
      </c>
      <c r="C87" s="336">
        <f>+C64+C68+C73+C76+C80+C86+C85</f>
        <v>0</v>
      </c>
    </row>
    <row r="88" spans="1:3" s="458" customFormat="1" ht="16.5" customHeight="1" thickBot="1" x14ac:dyDescent="0.25">
      <c r="A88" s="508" t="s">
        <v>480</v>
      </c>
      <c r="B88" s="467" t="s">
        <v>482</v>
      </c>
      <c r="C88" s="336">
        <f>+C63+C87</f>
        <v>0</v>
      </c>
    </row>
    <row r="89" spans="1:3" s="458" customFormat="1" ht="24.75" customHeight="1" x14ac:dyDescent="0.2">
      <c r="A89" s="5"/>
      <c r="B89" s="6"/>
      <c r="C89" s="337"/>
    </row>
    <row r="90" spans="1:3" ht="16.5" customHeight="1" x14ac:dyDescent="0.25">
      <c r="A90" s="669" t="s">
        <v>47</v>
      </c>
      <c r="B90" s="669"/>
      <c r="C90" s="669"/>
    </row>
    <row r="91" spans="1:3" s="468" customFormat="1" ht="16.5" customHeight="1" thickBot="1" x14ac:dyDescent="0.3">
      <c r="A91" s="671" t="s">
        <v>153</v>
      </c>
      <c r="B91" s="671"/>
      <c r="C91" s="164" t="s">
        <v>578</v>
      </c>
    </row>
    <row r="92" spans="1:3" ht="38.1" customHeight="1" thickBot="1" x14ac:dyDescent="0.3">
      <c r="A92" s="23" t="s">
        <v>70</v>
      </c>
      <c r="B92" s="24" t="s">
        <v>48</v>
      </c>
      <c r="C92" s="44" t="str">
        <f>+C3</f>
        <v>2018. évi előirányzat</v>
      </c>
    </row>
    <row r="93" spans="1:3" s="457" customFormat="1" ht="12" customHeight="1" thickBot="1" x14ac:dyDescent="0.25">
      <c r="A93" s="36"/>
      <c r="B93" s="37" t="s">
        <v>495</v>
      </c>
      <c r="C93" s="38" t="s">
        <v>496</v>
      </c>
    </row>
    <row r="94" spans="1:3" ht="12" customHeight="1" thickBot="1" x14ac:dyDescent="0.3">
      <c r="A94" s="22" t="s">
        <v>18</v>
      </c>
      <c r="B94" s="31" t="s">
        <v>440</v>
      </c>
      <c r="C94" s="329">
        <f>C95+C96+C97+C98+C99+C112</f>
        <v>24765465</v>
      </c>
    </row>
    <row r="95" spans="1:3" ht="12" customHeight="1" x14ac:dyDescent="0.25">
      <c r="A95" s="17" t="s">
        <v>99</v>
      </c>
      <c r="B95" s="10" t="s">
        <v>49</v>
      </c>
      <c r="C95" s="331">
        <f>'9.2.3. sz. mell HIV'!C47</f>
        <v>18881211</v>
      </c>
    </row>
    <row r="96" spans="1:3" ht="12" customHeight="1" x14ac:dyDescent="0.25">
      <c r="A96" s="14" t="s">
        <v>100</v>
      </c>
      <c r="B96" s="8" t="s">
        <v>180</v>
      </c>
      <c r="C96" s="332">
        <f>'9.2.3. sz. mell HIV'!C48</f>
        <v>4871754</v>
      </c>
    </row>
    <row r="97" spans="1:3" ht="12" customHeight="1" x14ac:dyDescent="0.25">
      <c r="A97" s="14" t="s">
        <v>101</v>
      </c>
      <c r="B97" s="8" t="s">
        <v>141</v>
      </c>
      <c r="C97" s="333">
        <f>'9.2.3. sz. mell HIV'!C49</f>
        <v>1012500</v>
      </c>
    </row>
    <row r="98" spans="1:3" ht="12" customHeight="1" x14ac:dyDescent="0.25">
      <c r="A98" s="14" t="s">
        <v>102</v>
      </c>
      <c r="B98" s="11" t="s">
        <v>181</v>
      </c>
      <c r="C98" s="334"/>
    </row>
    <row r="99" spans="1:3" ht="12" customHeight="1" x14ac:dyDescent="0.25">
      <c r="A99" s="14" t="s">
        <v>113</v>
      </c>
      <c r="B99" s="19" t="s">
        <v>182</v>
      </c>
      <c r="C99" s="334"/>
    </row>
    <row r="100" spans="1:3" ht="12" customHeight="1" x14ac:dyDescent="0.25">
      <c r="A100" s="14" t="s">
        <v>103</v>
      </c>
      <c r="B100" s="8" t="s">
        <v>445</v>
      </c>
      <c r="C100" s="334"/>
    </row>
    <row r="101" spans="1:3" ht="12" customHeight="1" x14ac:dyDescent="0.25">
      <c r="A101" s="14" t="s">
        <v>104</v>
      </c>
      <c r="B101" s="169" t="s">
        <v>444</v>
      </c>
      <c r="C101" s="334"/>
    </row>
    <row r="102" spans="1:3" ht="12" customHeight="1" x14ac:dyDescent="0.25">
      <c r="A102" s="14" t="s">
        <v>114</v>
      </c>
      <c r="B102" s="169" t="s">
        <v>443</v>
      </c>
      <c r="C102" s="334"/>
    </row>
    <row r="103" spans="1:3" ht="12" customHeight="1" x14ac:dyDescent="0.25">
      <c r="A103" s="14" t="s">
        <v>115</v>
      </c>
      <c r="B103" s="167" t="s">
        <v>353</v>
      </c>
      <c r="C103" s="334"/>
    </row>
    <row r="104" spans="1:3" ht="12" customHeight="1" x14ac:dyDescent="0.25">
      <c r="A104" s="14" t="s">
        <v>116</v>
      </c>
      <c r="B104" s="168" t="s">
        <v>354</v>
      </c>
      <c r="C104" s="334"/>
    </row>
    <row r="105" spans="1:3" ht="12" customHeight="1" x14ac:dyDescent="0.25">
      <c r="A105" s="14" t="s">
        <v>117</v>
      </c>
      <c r="B105" s="168" t="s">
        <v>355</v>
      </c>
      <c r="C105" s="334"/>
    </row>
    <row r="106" spans="1:3" ht="12" customHeight="1" x14ac:dyDescent="0.25">
      <c r="A106" s="14" t="s">
        <v>119</v>
      </c>
      <c r="B106" s="167" t="s">
        <v>356</v>
      </c>
      <c r="C106" s="334"/>
    </row>
    <row r="107" spans="1:3" ht="12" customHeight="1" x14ac:dyDescent="0.25">
      <c r="A107" s="14" t="s">
        <v>183</v>
      </c>
      <c r="B107" s="167" t="s">
        <v>357</v>
      </c>
      <c r="C107" s="334"/>
    </row>
    <row r="108" spans="1:3" ht="12" customHeight="1" x14ac:dyDescent="0.25">
      <c r="A108" s="14" t="s">
        <v>351</v>
      </c>
      <c r="B108" s="168" t="s">
        <v>358</v>
      </c>
      <c r="C108" s="334"/>
    </row>
    <row r="109" spans="1:3" ht="12" customHeight="1" x14ac:dyDescent="0.25">
      <c r="A109" s="13" t="s">
        <v>352</v>
      </c>
      <c r="B109" s="169" t="s">
        <v>359</v>
      </c>
      <c r="C109" s="334"/>
    </row>
    <row r="110" spans="1:3" ht="12" customHeight="1" x14ac:dyDescent="0.25">
      <c r="A110" s="14" t="s">
        <v>441</v>
      </c>
      <c r="B110" s="169" t="s">
        <v>360</v>
      </c>
      <c r="C110" s="334"/>
    </row>
    <row r="111" spans="1:3" ht="12" customHeight="1" x14ac:dyDescent="0.25">
      <c r="A111" s="16" t="s">
        <v>442</v>
      </c>
      <c r="B111" s="169" t="s">
        <v>361</v>
      </c>
      <c r="C111" s="334"/>
    </row>
    <row r="112" spans="1:3" ht="12" customHeight="1" x14ac:dyDescent="0.25">
      <c r="A112" s="14" t="s">
        <v>446</v>
      </c>
      <c r="B112" s="11" t="s">
        <v>50</v>
      </c>
      <c r="C112" s="332"/>
    </row>
    <row r="113" spans="1:3" ht="12" customHeight="1" x14ac:dyDescent="0.25">
      <c r="A113" s="14" t="s">
        <v>447</v>
      </c>
      <c r="B113" s="8" t="s">
        <v>449</v>
      </c>
      <c r="C113" s="332"/>
    </row>
    <row r="114" spans="1:3" ht="12" customHeight="1" thickBot="1" x14ac:dyDescent="0.3">
      <c r="A114" s="18" t="s">
        <v>448</v>
      </c>
      <c r="B114" s="534" t="s">
        <v>450</v>
      </c>
      <c r="C114" s="338"/>
    </row>
    <row r="115" spans="1:3" ht="12" customHeight="1" thickBot="1" x14ac:dyDescent="0.3">
      <c r="A115" s="531" t="s">
        <v>19</v>
      </c>
      <c r="B115" s="532" t="s">
        <v>362</v>
      </c>
      <c r="C115" s="533">
        <f>+C116+C118+C120</f>
        <v>0</v>
      </c>
    </row>
    <row r="116" spans="1:3" ht="12" customHeight="1" x14ac:dyDescent="0.25">
      <c r="A116" s="15" t="s">
        <v>105</v>
      </c>
      <c r="B116" s="8" t="s">
        <v>225</v>
      </c>
      <c r="C116" s="333"/>
    </row>
    <row r="117" spans="1:3" ht="12" customHeight="1" x14ac:dyDescent="0.25">
      <c r="A117" s="15" t="s">
        <v>106</v>
      </c>
      <c r="B117" s="12" t="s">
        <v>366</v>
      </c>
      <c r="C117" s="333"/>
    </row>
    <row r="118" spans="1:3" ht="12" customHeight="1" x14ac:dyDescent="0.25">
      <c r="A118" s="15" t="s">
        <v>107</v>
      </c>
      <c r="B118" s="12" t="s">
        <v>184</v>
      </c>
      <c r="C118" s="332"/>
    </row>
    <row r="119" spans="1:3" ht="12" customHeight="1" x14ac:dyDescent="0.25">
      <c r="A119" s="15" t="s">
        <v>108</v>
      </c>
      <c r="B119" s="12" t="s">
        <v>367</v>
      </c>
      <c r="C119" s="297"/>
    </row>
    <row r="120" spans="1:3" ht="12" customHeight="1" x14ac:dyDescent="0.25">
      <c r="A120" s="15" t="s">
        <v>109</v>
      </c>
      <c r="B120" s="327" t="s">
        <v>228</v>
      </c>
      <c r="C120" s="297"/>
    </row>
    <row r="121" spans="1:3" ht="12" customHeight="1" x14ac:dyDescent="0.25">
      <c r="A121" s="15" t="s">
        <v>118</v>
      </c>
      <c r="B121" s="326" t="s">
        <v>431</v>
      </c>
      <c r="C121" s="297"/>
    </row>
    <row r="122" spans="1:3" ht="12" customHeight="1" x14ac:dyDescent="0.25">
      <c r="A122" s="15" t="s">
        <v>120</v>
      </c>
      <c r="B122" s="455" t="s">
        <v>372</v>
      </c>
      <c r="C122" s="297"/>
    </row>
    <row r="123" spans="1:3" x14ac:dyDescent="0.25">
      <c r="A123" s="15" t="s">
        <v>185</v>
      </c>
      <c r="B123" s="168" t="s">
        <v>355</v>
      </c>
      <c r="C123" s="297"/>
    </row>
    <row r="124" spans="1:3" ht="12" customHeight="1" x14ac:dyDescent="0.25">
      <c r="A124" s="15" t="s">
        <v>186</v>
      </c>
      <c r="B124" s="168" t="s">
        <v>371</v>
      </c>
      <c r="C124" s="297"/>
    </row>
    <row r="125" spans="1:3" ht="12" customHeight="1" x14ac:dyDescent="0.25">
      <c r="A125" s="15" t="s">
        <v>187</v>
      </c>
      <c r="B125" s="168" t="s">
        <v>370</v>
      </c>
      <c r="C125" s="297"/>
    </row>
    <row r="126" spans="1:3" ht="12" customHeight="1" x14ac:dyDescent="0.25">
      <c r="A126" s="15" t="s">
        <v>363</v>
      </c>
      <c r="B126" s="168" t="s">
        <v>358</v>
      </c>
      <c r="C126" s="297"/>
    </row>
    <row r="127" spans="1:3" ht="12" customHeight="1" x14ac:dyDescent="0.25">
      <c r="A127" s="15" t="s">
        <v>364</v>
      </c>
      <c r="B127" s="168" t="s">
        <v>369</v>
      </c>
      <c r="C127" s="297"/>
    </row>
    <row r="128" spans="1:3" ht="16.5" thickBot="1" x14ac:dyDescent="0.3">
      <c r="A128" s="13" t="s">
        <v>365</v>
      </c>
      <c r="B128" s="168" t="s">
        <v>368</v>
      </c>
      <c r="C128" s="299"/>
    </row>
    <row r="129" spans="1:3" ht="12" customHeight="1" thickBot="1" x14ac:dyDescent="0.3">
      <c r="A129" s="20" t="s">
        <v>20</v>
      </c>
      <c r="B129" s="150" t="s">
        <v>451</v>
      </c>
      <c r="C129" s="330">
        <f>+C94+C115</f>
        <v>24765465</v>
      </c>
    </row>
    <row r="130" spans="1:3" ht="12" customHeight="1" thickBot="1" x14ac:dyDescent="0.3">
      <c r="A130" s="20" t="s">
        <v>21</v>
      </c>
      <c r="B130" s="150" t="s">
        <v>452</v>
      </c>
      <c r="C130" s="330">
        <f>+C131+C132+C133</f>
        <v>0</v>
      </c>
    </row>
    <row r="131" spans="1:3" ht="12" customHeight="1" x14ac:dyDescent="0.25">
      <c r="A131" s="15" t="s">
        <v>267</v>
      </c>
      <c r="B131" s="12" t="s">
        <v>459</v>
      </c>
      <c r="C131" s="297"/>
    </row>
    <row r="132" spans="1:3" ht="12" customHeight="1" x14ac:dyDescent="0.25">
      <c r="A132" s="15" t="s">
        <v>268</v>
      </c>
      <c r="B132" s="12" t="s">
        <v>460</v>
      </c>
      <c r="C132" s="297"/>
    </row>
    <row r="133" spans="1:3" ht="12" customHeight="1" thickBot="1" x14ac:dyDescent="0.3">
      <c r="A133" s="13" t="s">
        <v>269</v>
      </c>
      <c r="B133" s="12" t="s">
        <v>461</v>
      </c>
      <c r="C133" s="297"/>
    </row>
    <row r="134" spans="1:3" ht="12" customHeight="1" thickBot="1" x14ac:dyDescent="0.3">
      <c r="A134" s="20" t="s">
        <v>22</v>
      </c>
      <c r="B134" s="150" t="s">
        <v>453</v>
      </c>
      <c r="C134" s="330">
        <f>SUM(C135:C140)</f>
        <v>0</v>
      </c>
    </row>
    <row r="135" spans="1:3" ht="12" customHeight="1" x14ac:dyDescent="0.25">
      <c r="A135" s="15" t="s">
        <v>92</v>
      </c>
      <c r="B135" s="9" t="s">
        <v>462</v>
      </c>
      <c r="C135" s="297"/>
    </row>
    <row r="136" spans="1:3" ht="12" customHeight="1" x14ac:dyDescent="0.25">
      <c r="A136" s="15" t="s">
        <v>93</v>
      </c>
      <c r="B136" s="9" t="s">
        <v>454</v>
      </c>
      <c r="C136" s="297"/>
    </row>
    <row r="137" spans="1:3" ht="12" customHeight="1" x14ac:dyDescent="0.25">
      <c r="A137" s="15" t="s">
        <v>94</v>
      </c>
      <c r="B137" s="9" t="s">
        <v>455</v>
      </c>
      <c r="C137" s="297"/>
    </row>
    <row r="138" spans="1:3" ht="12" customHeight="1" x14ac:dyDescent="0.25">
      <c r="A138" s="15" t="s">
        <v>172</v>
      </c>
      <c r="B138" s="9" t="s">
        <v>456</v>
      </c>
      <c r="C138" s="297"/>
    </row>
    <row r="139" spans="1:3" ht="12" customHeight="1" x14ac:dyDescent="0.25">
      <c r="A139" s="15" t="s">
        <v>173</v>
      </c>
      <c r="B139" s="9" t="s">
        <v>457</v>
      </c>
      <c r="C139" s="297"/>
    </row>
    <row r="140" spans="1:3" ht="12" customHeight="1" thickBot="1" x14ac:dyDescent="0.3">
      <c r="A140" s="13" t="s">
        <v>174</v>
      </c>
      <c r="B140" s="9" t="s">
        <v>458</v>
      </c>
      <c r="C140" s="297"/>
    </row>
    <row r="141" spans="1:3" ht="12" customHeight="1" thickBot="1" x14ac:dyDescent="0.3">
      <c r="A141" s="20" t="s">
        <v>23</v>
      </c>
      <c r="B141" s="150" t="s">
        <v>466</v>
      </c>
      <c r="C141" s="336">
        <f>+C142+C143+C144+C145</f>
        <v>0</v>
      </c>
    </row>
    <row r="142" spans="1:3" ht="12" customHeight="1" x14ac:dyDescent="0.25">
      <c r="A142" s="15" t="s">
        <v>95</v>
      </c>
      <c r="B142" s="9" t="s">
        <v>373</v>
      </c>
      <c r="C142" s="297"/>
    </row>
    <row r="143" spans="1:3" ht="12" customHeight="1" x14ac:dyDescent="0.25">
      <c r="A143" s="15" t="s">
        <v>96</v>
      </c>
      <c r="B143" s="9" t="s">
        <v>374</v>
      </c>
      <c r="C143" s="297"/>
    </row>
    <row r="144" spans="1:3" ht="12" customHeight="1" x14ac:dyDescent="0.25">
      <c r="A144" s="15" t="s">
        <v>287</v>
      </c>
      <c r="B144" s="9" t="s">
        <v>467</v>
      </c>
      <c r="C144" s="297"/>
    </row>
    <row r="145" spans="1:9" ht="12" customHeight="1" thickBot="1" x14ac:dyDescent="0.3">
      <c r="A145" s="13" t="s">
        <v>288</v>
      </c>
      <c r="B145" s="7" t="s">
        <v>393</v>
      </c>
      <c r="C145" s="297"/>
    </row>
    <row r="146" spans="1:9" ht="12" customHeight="1" thickBot="1" x14ac:dyDescent="0.3">
      <c r="A146" s="20" t="s">
        <v>24</v>
      </c>
      <c r="B146" s="150" t="s">
        <v>468</v>
      </c>
      <c r="C146" s="339">
        <f>SUM(C147:C151)</f>
        <v>0</v>
      </c>
    </row>
    <row r="147" spans="1:9" ht="12" customHeight="1" x14ac:dyDescent="0.25">
      <c r="A147" s="15" t="s">
        <v>97</v>
      </c>
      <c r="B147" s="9" t="s">
        <v>463</v>
      </c>
      <c r="C147" s="297"/>
    </row>
    <row r="148" spans="1:9" ht="12" customHeight="1" x14ac:dyDescent="0.25">
      <c r="A148" s="15" t="s">
        <v>98</v>
      </c>
      <c r="B148" s="9" t="s">
        <v>470</v>
      </c>
      <c r="C148" s="297"/>
    </row>
    <row r="149" spans="1:9" ht="12" customHeight="1" x14ac:dyDescent="0.25">
      <c r="A149" s="15" t="s">
        <v>299</v>
      </c>
      <c r="B149" s="9" t="s">
        <v>465</v>
      </c>
      <c r="C149" s="297"/>
    </row>
    <row r="150" spans="1:9" ht="12" customHeight="1" x14ac:dyDescent="0.25">
      <c r="A150" s="15" t="s">
        <v>300</v>
      </c>
      <c r="B150" s="9" t="s">
        <v>471</v>
      </c>
      <c r="C150" s="297"/>
    </row>
    <row r="151" spans="1:9" ht="12" customHeight="1" thickBot="1" x14ac:dyDescent="0.3">
      <c r="A151" s="15" t="s">
        <v>469</v>
      </c>
      <c r="B151" s="9" t="s">
        <v>472</v>
      </c>
      <c r="C151" s="297"/>
    </row>
    <row r="152" spans="1:9" ht="12" customHeight="1" thickBot="1" x14ac:dyDescent="0.3">
      <c r="A152" s="20" t="s">
        <v>25</v>
      </c>
      <c r="B152" s="150" t="s">
        <v>473</v>
      </c>
      <c r="C152" s="535"/>
    </row>
    <row r="153" spans="1:9" ht="12" customHeight="1" thickBot="1" x14ac:dyDescent="0.3">
      <c r="A153" s="20" t="s">
        <v>26</v>
      </c>
      <c r="B153" s="150" t="s">
        <v>474</v>
      </c>
      <c r="C153" s="535"/>
    </row>
    <row r="154" spans="1:9" ht="15" customHeight="1" thickBot="1" x14ac:dyDescent="0.3">
      <c r="A154" s="20" t="s">
        <v>27</v>
      </c>
      <c r="B154" s="150" t="s">
        <v>476</v>
      </c>
      <c r="C154" s="469">
        <f>+C130+C134+C141+C146+C152+C153</f>
        <v>0</v>
      </c>
      <c r="F154" s="470"/>
      <c r="G154" s="471"/>
      <c r="H154" s="471"/>
      <c r="I154" s="471"/>
    </row>
    <row r="155" spans="1:9" s="458" customFormat="1" ht="12.95" customHeight="1" thickBot="1" x14ac:dyDescent="0.25">
      <c r="A155" s="328" t="s">
        <v>28</v>
      </c>
      <c r="B155" s="421" t="s">
        <v>475</v>
      </c>
      <c r="C155" s="469">
        <f>+C129+C154</f>
        <v>24765465</v>
      </c>
    </row>
    <row r="156" spans="1:9" ht="7.5" customHeight="1" x14ac:dyDescent="0.25"/>
    <row r="157" spans="1:9" x14ac:dyDescent="0.25">
      <c r="A157" s="672" t="s">
        <v>375</v>
      </c>
      <c r="B157" s="672"/>
      <c r="C157" s="672"/>
    </row>
    <row r="158" spans="1:9" ht="15" customHeight="1" thickBot="1" x14ac:dyDescent="0.3">
      <c r="A158" s="670" t="s">
        <v>154</v>
      </c>
      <c r="B158" s="670"/>
      <c r="C158" s="340" t="s">
        <v>226</v>
      </c>
    </row>
    <row r="159" spans="1:9" ht="13.5" customHeight="1" thickBot="1" x14ac:dyDescent="0.3">
      <c r="A159" s="20">
        <v>1</v>
      </c>
      <c r="B159" s="30" t="s">
        <v>477</v>
      </c>
      <c r="C159" s="330">
        <f>+C63-C129</f>
        <v>-24765465</v>
      </c>
      <c r="D159" s="472"/>
    </row>
    <row r="160" spans="1:9" ht="27.75" customHeight="1" thickBot="1" x14ac:dyDescent="0.3">
      <c r="A160" s="20" t="s">
        <v>19</v>
      </c>
      <c r="B160" s="30" t="s">
        <v>574</v>
      </c>
      <c r="C160" s="330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ÁLLAMIGAZGATÁSI FELADATAINAK MÉRLEGE
&amp;R&amp;"Times New Roman CE,Félkövér dőlt"&amp;11 1.4. melléklet a 4/2018. (II. 20.)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F33" sqref="F33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7" width="9.33203125" style="61"/>
    <col min="8" max="8" width="10.33203125" style="61" bestFit="1" customWidth="1"/>
    <col min="9" max="16384" width="9.33203125" style="61"/>
  </cols>
  <sheetData>
    <row r="1" spans="1:8" ht="39.75" customHeight="1" x14ac:dyDescent="0.2">
      <c r="B1" s="352" t="s">
        <v>158</v>
      </c>
      <c r="C1" s="353"/>
      <c r="D1" s="353"/>
      <c r="E1" s="353"/>
      <c r="F1" s="675" t="str">
        <f>+CONCATENATE("2.1. melléklet a 4/",LEFT(ÖSSZEFÜGGÉSEK!A5,4),". (II. 20.) önkormányzati rendelethez")</f>
        <v>2.1. melléklet a 4/2018. (II. 20.) önkormányzati rendelethez</v>
      </c>
    </row>
    <row r="2" spans="1:8" ht="14.25" thickBot="1" x14ac:dyDescent="0.25">
      <c r="E2" s="354" t="s">
        <v>577</v>
      </c>
      <c r="F2" s="675"/>
    </row>
    <row r="3" spans="1:8" ht="18" customHeight="1" thickBot="1" x14ac:dyDescent="0.25">
      <c r="A3" s="673" t="s">
        <v>70</v>
      </c>
      <c r="B3" s="355" t="s">
        <v>56</v>
      </c>
      <c r="C3" s="356"/>
      <c r="D3" s="355" t="s">
        <v>57</v>
      </c>
      <c r="E3" s="357"/>
      <c r="F3" s="675"/>
    </row>
    <row r="4" spans="1:8" s="358" customFormat="1" ht="35.25" customHeight="1" thickBot="1" x14ac:dyDescent="0.25">
      <c r="A4" s="674"/>
      <c r="B4" s="216" t="s">
        <v>62</v>
      </c>
      <c r="C4" s="217" t="str">
        <f>+'1.1.sz.mell.'!C3</f>
        <v>2018. évi előirányzat</v>
      </c>
      <c r="D4" s="216" t="s">
        <v>62</v>
      </c>
      <c r="E4" s="58" t="str">
        <f>+C4</f>
        <v>2018. évi előirányzat</v>
      </c>
      <c r="F4" s="675"/>
    </row>
    <row r="5" spans="1:8" s="363" customFormat="1" ht="12" customHeight="1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5"/>
    </row>
    <row r="6" spans="1:8" ht="12.95" customHeight="1" x14ac:dyDescent="0.2">
      <c r="A6" s="364" t="s">
        <v>18</v>
      </c>
      <c r="B6" s="365" t="s">
        <v>376</v>
      </c>
      <c r="C6" s="341">
        <f>'1.1.sz.mell.'!C5</f>
        <v>540934975</v>
      </c>
      <c r="D6" s="365" t="s">
        <v>63</v>
      </c>
      <c r="E6" s="347">
        <f>'1.1.sz.mell.'!C95</f>
        <v>527518956</v>
      </c>
      <c r="F6" s="675"/>
    </row>
    <row r="7" spans="1:8" ht="12.95" customHeight="1" x14ac:dyDescent="0.2">
      <c r="A7" s="366" t="s">
        <v>19</v>
      </c>
      <c r="B7" s="367" t="s">
        <v>377</v>
      </c>
      <c r="C7" s="341">
        <f>'1.1.sz.mell.'!C12</f>
        <v>288004053</v>
      </c>
      <c r="D7" s="367" t="s">
        <v>180</v>
      </c>
      <c r="E7" s="347">
        <f>'1.1.sz.mell.'!C96</f>
        <v>90702091</v>
      </c>
      <c r="F7" s="675"/>
    </row>
    <row r="8" spans="1:8" ht="12.95" customHeight="1" x14ac:dyDescent="0.2">
      <c r="A8" s="366" t="s">
        <v>20</v>
      </c>
      <c r="B8" s="367" t="s">
        <v>398</v>
      </c>
      <c r="C8" s="342"/>
      <c r="D8" s="367" t="s">
        <v>231</v>
      </c>
      <c r="E8" s="347">
        <f>'1.1.sz.mell.'!C97</f>
        <v>501267667</v>
      </c>
      <c r="F8" s="675"/>
      <c r="H8" s="61">
        <v>67800000</v>
      </c>
    </row>
    <row r="9" spans="1:8" ht="12.95" customHeight="1" x14ac:dyDescent="0.2">
      <c r="A9" s="366" t="s">
        <v>21</v>
      </c>
      <c r="B9" s="367" t="s">
        <v>171</v>
      </c>
      <c r="C9" s="342">
        <f>'1.1.sz.mell.'!C26</f>
        <v>108475000</v>
      </c>
      <c r="D9" s="367" t="s">
        <v>181</v>
      </c>
      <c r="E9" s="347">
        <f>'1.1.sz.mell.'!C98</f>
        <v>21950000</v>
      </c>
      <c r="F9" s="675"/>
      <c r="H9" s="61">
        <v>40000</v>
      </c>
    </row>
    <row r="10" spans="1:8" ht="12.95" customHeight="1" x14ac:dyDescent="0.2">
      <c r="A10" s="366" t="s">
        <v>22</v>
      </c>
      <c r="B10" s="368" t="s">
        <v>424</v>
      </c>
      <c r="C10" s="342">
        <f>'1.1.sz.mell.'!C35</f>
        <v>93585387</v>
      </c>
      <c r="D10" s="367" t="s">
        <v>182</v>
      </c>
      <c r="E10" s="347">
        <f>'1.1.sz.mell.'!C99</f>
        <v>26630000</v>
      </c>
      <c r="F10" s="675"/>
      <c r="H10" s="61">
        <v>13500000</v>
      </c>
    </row>
    <row r="11" spans="1:8" ht="12.95" customHeight="1" x14ac:dyDescent="0.2">
      <c r="A11" s="366" t="s">
        <v>23</v>
      </c>
      <c r="B11" s="367" t="s">
        <v>378</v>
      </c>
      <c r="C11" s="343">
        <f>'1.1.sz.mell.'!C53</f>
        <v>0</v>
      </c>
      <c r="D11" s="367" t="s">
        <v>50</v>
      </c>
      <c r="E11" s="347">
        <f>'1.1.sz.mell.'!C114</f>
        <v>70523591</v>
      </c>
      <c r="F11" s="675"/>
      <c r="H11" s="61">
        <v>15200000</v>
      </c>
    </row>
    <row r="12" spans="1:8" ht="12.95" customHeight="1" x14ac:dyDescent="0.2">
      <c r="A12" s="366" t="s">
        <v>24</v>
      </c>
      <c r="B12" s="367" t="s">
        <v>483</v>
      </c>
      <c r="C12" s="342"/>
      <c r="D12" s="51"/>
      <c r="E12" s="348"/>
      <c r="F12" s="675"/>
      <c r="H12" s="61">
        <f>SUM(H8:H11)</f>
        <v>96540000</v>
      </c>
    </row>
    <row r="13" spans="1:8" ht="12.95" customHeight="1" x14ac:dyDescent="0.2">
      <c r="A13" s="366" t="s">
        <v>25</v>
      </c>
      <c r="B13" s="51"/>
      <c r="C13" s="342"/>
      <c r="D13" s="51"/>
      <c r="E13" s="348"/>
      <c r="F13" s="675"/>
    </row>
    <row r="14" spans="1:8" ht="12.95" customHeight="1" x14ac:dyDescent="0.2">
      <c r="A14" s="366" t="s">
        <v>26</v>
      </c>
      <c r="B14" s="473"/>
      <c r="C14" s="343"/>
      <c r="D14" s="51"/>
      <c r="E14" s="348"/>
      <c r="F14" s="675"/>
    </row>
    <row r="15" spans="1:8" ht="12.95" customHeight="1" x14ac:dyDescent="0.2">
      <c r="A15" s="366" t="s">
        <v>27</v>
      </c>
      <c r="B15" s="51"/>
      <c r="C15" s="342"/>
      <c r="D15" s="51"/>
      <c r="E15" s="348"/>
      <c r="F15" s="675"/>
    </row>
    <row r="16" spans="1:8" ht="12.95" customHeight="1" x14ac:dyDescent="0.2">
      <c r="A16" s="366" t="s">
        <v>28</v>
      </c>
      <c r="B16" s="51"/>
      <c r="C16" s="342"/>
      <c r="D16" s="51"/>
      <c r="E16" s="348"/>
      <c r="F16" s="675"/>
    </row>
    <row r="17" spans="1:6" ht="12.95" customHeight="1" thickBot="1" x14ac:dyDescent="0.25">
      <c r="A17" s="366" t="s">
        <v>29</v>
      </c>
      <c r="B17" s="63"/>
      <c r="C17" s="344"/>
      <c r="D17" s="51"/>
      <c r="E17" s="349"/>
      <c r="F17" s="675"/>
    </row>
    <row r="18" spans="1:6" ht="15.95" customHeight="1" thickBot="1" x14ac:dyDescent="0.25">
      <c r="A18" s="369" t="s">
        <v>30</v>
      </c>
      <c r="B18" s="152" t="s">
        <v>484</v>
      </c>
      <c r="C18" s="345">
        <f>SUM(C6:C17)</f>
        <v>1030999415</v>
      </c>
      <c r="D18" s="152" t="s">
        <v>384</v>
      </c>
      <c r="E18" s="350">
        <f>SUM(E6:E17)</f>
        <v>1238592305</v>
      </c>
      <c r="F18" s="675"/>
    </row>
    <row r="19" spans="1:6" ht="12.95" customHeight="1" x14ac:dyDescent="0.2">
      <c r="A19" s="370" t="s">
        <v>31</v>
      </c>
      <c r="B19" s="371" t="s">
        <v>381</v>
      </c>
      <c r="C19" s="537">
        <f>+C20+C21+C22+C23</f>
        <v>226200199</v>
      </c>
      <c r="D19" s="372" t="s">
        <v>188</v>
      </c>
      <c r="E19" s="351"/>
      <c r="F19" s="675"/>
    </row>
    <row r="20" spans="1:6" ht="12.95" customHeight="1" x14ac:dyDescent="0.2">
      <c r="A20" s="373" t="s">
        <v>32</v>
      </c>
      <c r="B20" s="372" t="s">
        <v>223</v>
      </c>
      <c r="C20" s="96">
        <f>232112493+7000000-12912294</f>
        <v>226200199</v>
      </c>
      <c r="D20" s="372" t="s">
        <v>383</v>
      </c>
      <c r="E20" s="97"/>
      <c r="F20" s="675"/>
    </row>
    <row r="21" spans="1:6" ht="12.95" customHeight="1" x14ac:dyDescent="0.2">
      <c r="A21" s="373" t="s">
        <v>33</v>
      </c>
      <c r="B21" s="372" t="s">
        <v>224</v>
      </c>
      <c r="C21" s="96">
        <f>+'1.1.sz.mell.'!C75</f>
        <v>0</v>
      </c>
      <c r="D21" s="372" t="s">
        <v>156</v>
      </c>
      <c r="E21" s="97"/>
      <c r="F21" s="675"/>
    </row>
    <row r="22" spans="1:6" ht="12.95" customHeight="1" x14ac:dyDescent="0.2">
      <c r="A22" s="373" t="s">
        <v>34</v>
      </c>
      <c r="B22" s="372" t="s">
        <v>229</v>
      </c>
      <c r="C22" s="96"/>
      <c r="D22" s="372" t="s">
        <v>157</v>
      </c>
      <c r="E22" s="97"/>
      <c r="F22" s="675"/>
    </row>
    <row r="23" spans="1:6" ht="12.95" customHeight="1" x14ac:dyDescent="0.2">
      <c r="A23" s="373" t="s">
        <v>35</v>
      </c>
      <c r="B23" s="372" t="s">
        <v>230</v>
      </c>
      <c r="C23" s="96"/>
      <c r="D23" s="371" t="s">
        <v>232</v>
      </c>
      <c r="E23" s="97"/>
      <c r="F23" s="675"/>
    </row>
    <row r="24" spans="1:6" ht="12.95" customHeight="1" x14ac:dyDescent="0.2">
      <c r="A24" s="373" t="s">
        <v>36</v>
      </c>
      <c r="B24" s="372" t="s">
        <v>382</v>
      </c>
      <c r="C24" s="374">
        <f>+C25+C26</f>
        <v>0</v>
      </c>
      <c r="D24" s="372" t="s">
        <v>189</v>
      </c>
      <c r="E24" s="97"/>
      <c r="F24" s="675"/>
    </row>
    <row r="25" spans="1:6" ht="12.95" customHeight="1" x14ac:dyDescent="0.2">
      <c r="A25" s="370" t="s">
        <v>37</v>
      </c>
      <c r="B25" s="371" t="s">
        <v>379</v>
      </c>
      <c r="C25" s="346"/>
      <c r="D25" s="365" t="s">
        <v>467</v>
      </c>
      <c r="E25" s="351"/>
      <c r="F25" s="675"/>
    </row>
    <row r="26" spans="1:6" ht="12.95" customHeight="1" x14ac:dyDescent="0.2">
      <c r="A26" s="373" t="s">
        <v>38</v>
      </c>
      <c r="B26" s="372" t="s">
        <v>380</v>
      </c>
      <c r="C26" s="96"/>
      <c r="D26" s="367" t="s">
        <v>473</v>
      </c>
      <c r="E26" s="97"/>
      <c r="F26" s="675"/>
    </row>
    <row r="27" spans="1:6" ht="12.95" customHeight="1" x14ac:dyDescent="0.2">
      <c r="A27" s="366" t="s">
        <v>39</v>
      </c>
      <c r="B27" s="372" t="s">
        <v>478</v>
      </c>
      <c r="C27" s="96"/>
      <c r="D27" s="367" t="s">
        <v>474</v>
      </c>
      <c r="E27" s="97"/>
      <c r="F27" s="675"/>
    </row>
    <row r="28" spans="1:6" ht="12.95" customHeight="1" thickBot="1" x14ac:dyDescent="0.25">
      <c r="A28" s="435" t="s">
        <v>40</v>
      </c>
      <c r="B28" s="371" t="s">
        <v>337</v>
      </c>
      <c r="C28" s="346"/>
      <c r="D28" s="475" t="s">
        <v>374</v>
      </c>
      <c r="E28" s="351">
        <v>18607309</v>
      </c>
      <c r="F28" s="675"/>
    </row>
    <row r="29" spans="1:6" ht="15.95" customHeight="1" thickBot="1" x14ac:dyDescent="0.25">
      <c r="A29" s="369" t="s">
        <v>41</v>
      </c>
      <c r="B29" s="152" t="s">
        <v>485</v>
      </c>
      <c r="C29" s="345">
        <f>+C19+C24+C27+C28</f>
        <v>226200199</v>
      </c>
      <c r="D29" s="152" t="s">
        <v>487</v>
      </c>
      <c r="E29" s="350">
        <f>SUM(E19:E28)</f>
        <v>18607309</v>
      </c>
      <c r="F29" s="675"/>
    </row>
    <row r="30" spans="1:6" ht="13.5" thickBot="1" x14ac:dyDescent="0.25">
      <c r="A30" s="369" t="s">
        <v>42</v>
      </c>
      <c r="B30" s="375" t="s">
        <v>486</v>
      </c>
      <c r="C30" s="376">
        <f>+C18+C29</f>
        <v>1257199614</v>
      </c>
      <c r="D30" s="375" t="s">
        <v>488</v>
      </c>
      <c r="E30" s="376">
        <f>+E18+E29</f>
        <v>1257199614</v>
      </c>
      <c r="F30" s="675"/>
    </row>
    <row r="31" spans="1:6" ht="13.5" thickBot="1" x14ac:dyDescent="0.25">
      <c r="A31" s="369" t="s">
        <v>43</v>
      </c>
      <c r="B31" s="375" t="s">
        <v>166</v>
      </c>
      <c r="C31" s="376">
        <f>IF(C18-E18&lt;0,E18-C18,"-")</f>
        <v>207592890</v>
      </c>
      <c r="D31" s="375" t="s">
        <v>167</v>
      </c>
      <c r="E31" s="376" t="str">
        <f>IF(C18-E18&gt;0,C18-E18,"-")</f>
        <v>-</v>
      </c>
      <c r="F31" s="675"/>
    </row>
    <row r="32" spans="1:6" ht="13.5" thickBot="1" x14ac:dyDescent="0.25">
      <c r="A32" s="369" t="s">
        <v>44</v>
      </c>
      <c r="B32" s="375" t="s">
        <v>233</v>
      </c>
      <c r="C32" s="376" t="str">
        <f>IF(C18+C29-E30&lt;0,E30-(C18+C29),"-")</f>
        <v>-</v>
      </c>
      <c r="D32" s="375" t="s">
        <v>234</v>
      </c>
      <c r="E32" s="376" t="str">
        <f>IF(C18+C29-E30&gt;0,C18+C29-E30,"-")</f>
        <v>-</v>
      </c>
      <c r="F32" s="675"/>
    </row>
    <row r="33" spans="2:4" ht="18.75" x14ac:dyDescent="0.2">
      <c r="B33" s="676"/>
      <c r="C33" s="676"/>
      <c r="D33" s="676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topLeftCell="A2" zoomScale="115" zoomScaleNormal="100" zoomScaleSheetLayoutView="115" workbookViewId="0">
      <selection activeCell="F34" sqref="F34"/>
    </sheetView>
  </sheetViews>
  <sheetFormatPr defaultRowHeight="12.75" x14ac:dyDescent="0.2"/>
  <cols>
    <col min="1" max="1" width="6.83203125" style="61" customWidth="1"/>
    <col min="2" max="2" width="55.1640625" style="215" customWidth="1"/>
    <col min="3" max="3" width="16.33203125" style="61" customWidth="1"/>
    <col min="4" max="4" width="55.1640625" style="61" customWidth="1"/>
    <col min="5" max="5" width="16.33203125" style="61" customWidth="1"/>
    <col min="6" max="6" width="4.83203125" style="61" customWidth="1"/>
    <col min="7" max="16384" width="9.33203125" style="61"/>
  </cols>
  <sheetData>
    <row r="1" spans="1:6" ht="31.5" x14ac:dyDescent="0.2">
      <c r="B1" s="352" t="s">
        <v>159</v>
      </c>
      <c r="C1" s="353"/>
      <c r="D1" s="353"/>
      <c r="E1" s="353"/>
      <c r="F1" s="675" t="str">
        <f>+CONCATENATE("2.2. melléklet a 4/",LEFT(ÖSSZEFÜGGÉSEK!A5,4),". (II. 20.) önkormányzati rendelethez")</f>
        <v>2.2. melléklet a 4/2018. (II. 20.) önkormányzati rendelethez</v>
      </c>
    </row>
    <row r="2" spans="1:6" ht="14.25" thickBot="1" x14ac:dyDescent="0.25">
      <c r="E2" s="354" t="s">
        <v>632</v>
      </c>
      <c r="F2" s="675"/>
    </row>
    <row r="3" spans="1:6" ht="13.5" thickBot="1" x14ac:dyDescent="0.25">
      <c r="A3" s="677" t="s">
        <v>70</v>
      </c>
      <c r="B3" s="355" t="s">
        <v>56</v>
      </c>
      <c r="C3" s="356"/>
      <c r="D3" s="355" t="s">
        <v>57</v>
      </c>
      <c r="E3" s="357"/>
      <c r="F3" s="675"/>
    </row>
    <row r="4" spans="1:6" s="358" customFormat="1" ht="24.75" thickBot="1" x14ac:dyDescent="0.25">
      <c r="A4" s="678"/>
      <c r="B4" s="216" t="s">
        <v>62</v>
      </c>
      <c r="C4" s="217" t="str">
        <f>+'2.1.sz.mell  '!C4</f>
        <v>2018. évi előirányzat</v>
      </c>
      <c r="D4" s="216" t="s">
        <v>62</v>
      </c>
      <c r="E4" s="217" t="str">
        <f>+'2.1.sz.mell  '!C4</f>
        <v>2018. évi előirányzat</v>
      </c>
      <c r="F4" s="675"/>
    </row>
    <row r="5" spans="1:6" s="358" customFormat="1" ht="13.5" thickBot="1" x14ac:dyDescent="0.25">
      <c r="A5" s="359"/>
      <c r="B5" s="360" t="s">
        <v>495</v>
      </c>
      <c r="C5" s="361" t="s">
        <v>496</v>
      </c>
      <c r="D5" s="360" t="s">
        <v>497</v>
      </c>
      <c r="E5" s="362" t="s">
        <v>499</v>
      </c>
      <c r="F5" s="675"/>
    </row>
    <row r="6" spans="1:6" ht="12.95" customHeight="1" x14ac:dyDescent="0.2">
      <c r="A6" s="364" t="s">
        <v>18</v>
      </c>
      <c r="B6" s="365" t="s">
        <v>385</v>
      </c>
      <c r="C6" s="341">
        <f>'1.1.sz.mell.'!C19</f>
        <v>319680797</v>
      </c>
      <c r="D6" s="365" t="s">
        <v>225</v>
      </c>
      <c r="E6" s="347">
        <f>'1.1.sz.mell.'!C116</f>
        <v>841998158</v>
      </c>
      <c r="F6" s="675"/>
    </row>
    <row r="7" spans="1:6" x14ac:dyDescent="0.2">
      <c r="A7" s="366" t="s">
        <v>19</v>
      </c>
      <c r="B7" s="367" t="s">
        <v>386</v>
      </c>
      <c r="C7" s="342"/>
      <c r="D7" s="367" t="s">
        <v>391</v>
      </c>
      <c r="E7" s="348"/>
      <c r="F7" s="675"/>
    </row>
    <row r="8" spans="1:6" ht="12.95" customHeight="1" x14ac:dyDescent="0.2">
      <c r="A8" s="366" t="s">
        <v>20</v>
      </c>
      <c r="B8" s="367" t="s">
        <v>9</v>
      </c>
      <c r="C8" s="342">
        <f>'1.1.sz.mell.'!C47</f>
        <v>70643198</v>
      </c>
      <c r="D8" s="367" t="s">
        <v>184</v>
      </c>
      <c r="E8" s="348">
        <f>'1.1.sz.mell.'!C118</f>
        <v>10509250</v>
      </c>
      <c r="F8" s="675"/>
    </row>
    <row r="9" spans="1:6" ht="12.95" customHeight="1" x14ac:dyDescent="0.2">
      <c r="A9" s="366" t="s">
        <v>21</v>
      </c>
      <c r="B9" s="367" t="s">
        <v>387</v>
      </c>
      <c r="C9" s="342">
        <f>'1.1.sz.mell.'!C58</f>
        <v>1810000</v>
      </c>
      <c r="D9" s="367" t="s">
        <v>392</v>
      </c>
      <c r="E9" s="348"/>
      <c r="F9" s="675"/>
    </row>
    <row r="10" spans="1:6" ht="12.75" customHeight="1" x14ac:dyDescent="0.2">
      <c r="A10" s="366" t="s">
        <v>22</v>
      </c>
      <c r="B10" s="367" t="s">
        <v>388</v>
      </c>
      <c r="C10" s="342"/>
      <c r="D10" s="367" t="s">
        <v>228</v>
      </c>
      <c r="E10" s="348">
        <f>'1.1.sz.mell.'!C120</f>
        <v>4069049</v>
      </c>
      <c r="F10" s="675"/>
    </row>
    <row r="11" spans="1:6" ht="12.95" customHeight="1" x14ac:dyDescent="0.2">
      <c r="A11" s="366" t="s">
        <v>23</v>
      </c>
      <c r="B11" s="367" t="s">
        <v>389</v>
      </c>
      <c r="C11" s="343"/>
      <c r="D11" s="476"/>
      <c r="E11" s="348"/>
      <c r="F11" s="675"/>
    </row>
    <row r="12" spans="1:6" ht="12.95" customHeight="1" x14ac:dyDescent="0.2">
      <c r="A12" s="366" t="s">
        <v>24</v>
      </c>
      <c r="B12" s="51"/>
      <c r="C12" s="342"/>
      <c r="D12" s="476"/>
      <c r="E12" s="348"/>
      <c r="F12" s="675"/>
    </row>
    <row r="13" spans="1:6" ht="12.95" customHeight="1" x14ac:dyDescent="0.2">
      <c r="A13" s="366" t="s">
        <v>25</v>
      </c>
      <c r="B13" s="51"/>
      <c r="C13" s="342"/>
      <c r="D13" s="477"/>
      <c r="E13" s="348"/>
      <c r="F13" s="675"/>
    </row>
    <row r="14" spans="1:6" ht="12.95" customHeight="1" x14ac:dyDescent="0.2">
      <c r="A14" s="366" t="s">
        <v>26</v>
      </c>
      <c r="B14" s="474"/>
      <c r="C14" s="343"/>
      <c r="D14" s="476"/>
      <c r="E14" s="348"/>
      <c r="F14" s="675"/>
    </row>
    <row r="15" spans="1:6" x14ac:dyDescent="0.2">
      <c r="A15" s="366" t="s">
        <v>27</v>
      </c>
      <c r="B15" s="51"/>
      <c r="C15" s="343"/>
      <c r="D15" s="476"/>
      <c r="E15" s="348"/>
      <c r="F15" s="675"/>
    </row>
    <row r="16" spans="1:6" ht="12.95" customHeight="1" thickBot="1" x14ac:dyDescent="0.25">
      <c r="A16" s="435" t="s">
        <v>28</v>
      </c>
      <c r="B16" s="475"/>
      <c r="C16" s="437"/>
      <c r="D16" s="436" t="s">
        <v>50</v>
      </c>
      <c r="E16" s="397"/>
      <c r="F16" s="675"/>
    </row>
    <row r="17" spans="1:6" ht="15.95" customHeight="1" thickBot="1" x14ac:dyDescent="0.25">
      <c r="A17" s="369" t="s">
        <v>29</v>
      </c>
      <c r="B17" s="152" t="s">
        <v>399</v>
      </c>
      <c r="C17" s="345">
        <f>+C6+C8+C9+C11+C12+C13+C14+C15+C16</f>
        <v>392133995</v>
      </c>
      <c r="D17" s="152" t="s">
        <v>400</v>
      </c>
      <c r="E17" s="350">
        <f>+E6+E8+E10+E11+E12+E13+E14+E15+E16</f>
        <v>856576457</v>
      </c>
      <c r="F17" s="675"/>
    </row>
    <row r="18" spans="1:6" ht="12.95" customHeight="1" x14ac:dyDescent="0.2">
      <c r="A18" s="364" t="s">
        <v>30</v>
      </c>
      <c r="B18" s="379" t="s">
        <v>246</v>
      </c>
      <c r="C18" s="386">
        <f>+C19+C20+C21+C22+C23</f>
        <v>453347293</v>
      </c>
      <c r="D18" s="372" t="s">
        <v>188</v>
      </c>
      <c r="E18" s="94"/>
      <c r="F18" s="675"/>
    </row>
    <row r="19" spans="1:6" ht="12.95" customHeight="1" x14ac:dyDescent="0.2">
      <c r="A19" s="366" t="s">
        <v>31</v>
      </c>
      <c r="B19" s="380" t="s">
        <v>235</v>
      </c>
      <c r="C19" s="96">
        <f>'1.1.sz.mell.'!C74-'2.1.sz.mell  '!C20</f>
        <v>453347293</v>
      </c>
      <c r="D19" s="372" t="s">
        <v>191</v>
      </c>
      <c r="E19" s="97"/>
      <c r="F19" s="675"/>
    </row>
    <row r="20" spans="1:6" ht="12.95" customHeight="1" x14ac:dyDescent="0.2">
      <c r="A20" s="364" t="s">
        <v>32</v>
      </c>
      <c r="B20" s="380" t="s">
        <v>236</v>
      </c>
      <c r="C20" s="96">
        <f>'1.1.sz.mell.'!C75</f>
        <v>0</v>
      </c>
      <c r="D20" s="372" t="s">
        <v>156</v>
      </c>
      <c r="E20" s="97"/>
      <c r="F20" s="675"/>
    </row>
    <row r="21" spans="1:6" ht="12.95" customHeight="1" x14ac:dyDescent="0.2">
      <c r="A21" s="366" t="s">
        <v>33</v>
      </c>
      <c r="B21" s="380" t="s">
        <v>237</v>
      </c>
      <c r="C21" s="96"/>
      <c r="D21" s="372" t="s">
        <v>157</v>
      </c>
      <c r="E21" s="97">
        <f>'1.1.sz.mell.'!C131</f>
        <v>4272000</v>
      </c>
      <c r="F21" s="675"/>
    </row>
    <row r="22" spans="1:6" ht="12.95" customHeight="1" x14ac:dyDescent="0.2">
      <c r="A22" s="364" t="s">
        <v>34</v>
      </c>
      <c r="B22" s="380" t="s">
        <v>238</v>
      </c>
      <c r="C22" s="96"/>
      <c r="D22" s="371" t="s">
        <v>232</v>
      </c>
      <c r="E22" s="97"/>
      <c r="F22" s="675"/>
    </row>
    <row r="23" spans="1:6" ht="12.95" customHeight="1" x14ac:dyDescent="0.2">
      <c r="A23" s="366" t="s">
        <v>35</v>
      </c>
      <c r="B23" s="381" t="s">
        <v>239</v>
      </c>
      <c r="C23" s="96"/>
      <c r="D23" s="372" t="s">
        <v>192</v>
      </c>
      <c r="E23" s="97"/>
      <c r="F23" s="675"/>
    </row>
    <row r="24" spans="1:6" ht="12.95" customHeight="1" x14ac:dyDescent="0.2">
      <c r="A24" s="364" t="s">
        <v>36</v>
      </c>
      <c r="B24" s="382" t="s">
        <v>240</v>
      </c>
      <c r="C24" s="374">
        <f>+C25+C26+C27+C28+C29</f>
        <v>16400000</v>
      </c>
      <c r="D24" s="383" t="s">
        <v>190</v>
      </c>
      <c r="E24" s="97"/>
      <c r="F24" s="675"/>
    </row>
    <row r="25" spans="1:6" ht="12.95" customHeight="1" x14ac:dyDescent="0.2">
      <c r="A25" s="366" t="s">
        <v>37</v>
      </c>
      <c r="B25" s="381" t="s">
        <v>241</v>
      </c>
      <c r="C25" s="96">
        <f>'1.1.sz.mell.'!C65</f>
        <v>16400000</v>
      </c>
      <c r="D25" s="383" t="s">
        <v>393</v>
      </c>
      <c r="E25" s="97">
        <f>'1.1.sz.mell.'!C145</f>
        <v>1032831</v>
      </c>
      <c r="F25" s="675"/>
    </row>
    <row r="26" spans="1:6" ht="12.95" customHeight="1" x14ac:dyDescent="0.2">
      <c r="A26" s="364" t="s">
        <v>38</v>
      </c>
      <c r="B26" s="381" t="s">
        <v>242</v>
      </c>
      <c r="C26" s="96"/>
      <c r="D26" s="378"/>
      <c r="E26" s="97"/>
      <c r="F26" s="675"/>
    </row>
    <row r="27" spans="1:6" ht="12.95" customHeight="1" x14ac:dyDescent="0.2">
      <c r="A27" s="366" t="s">
        <v>39</v>
      </c>
      <c r="B27" s="380" t="s">
        <v>243</v>
      </c>
      <c r="C27" s="96"/>
      <c r="D27" s="148"/>
      <c r="E27" s="97"/>
      <c r="F27" s="675"/>
    </row>
    <row r="28" spans="1:6" ht="12.95" customHeight="1" x14ac:dyDescent="0.2">
      <c r="A28" s="364" t="s">
        <v>40</v>
      </c>
      <c r="B28" s="384" t="s">
        <v>244</v>
      </c>
      <c r="C28" s="96"/>
      <c r="D28" s="51"/>
      <c r="E28" s="97"/>
      <c r="F28" s="675"/>
    </row>
    <row r="29" spans="1:6" ht="12.95" customHeight="1" thickBot="1" x14ac:dyDescent="0.25">
      <c r="A29" s="366" t="s">
        <v>41</v>
      </c>
      <c r="B29" s="385" t="s">
        <v>245</v>
      </c>
      <c r="C29" s="96"/>
      <c r="D29" s="148"/>
      <c r="E29" s="97"/>
      <c r="F29" s="675"/>
    </row>
    <row r="30" spans="1:6" ht="21.75" customHeight="1" thickBot="1" x14ac:dyDescent="0.25">
      <c r="A30" s="369" t="s">
        <v>42</v>
      </c>
      <c r="B30" s="152" t="s">
        <v>390</v>
      </c>
      <c r="C30" s="345">
        <f>+C18+C24</f>
        <v>469747293</v>
      </c>
      <c r="D30" s="152" t="s">
        <v>394</v>
      </c>
      <c r="E30" s="350">
        <f>SUM(E18:E29)</f>
        <v>5304831</v>
      </c>
      <c r="F30" s="675"/>
    </row>
    <row r="31" spans="1:6" ht="13.5" thickBot="1" x14ac:dyDescent="0.25">
      <c r="A31" s="369" t="s">
        <v>43</v>
      </c>
      <c r="B31" s="375" t="s">
        <v>395</v>
      </c>
      <c r="C31" s="376">
        <f>+C17+C30</f>
        <v>861881288</v>
      </c>
      <c r="D31" s="375" t="s">
        <v>396</v>
      </c>
      <c r="E31" s="376">
        <f>+E17+E30</f>
        <v>861881288</v>
      </c>
      <c r="F31" s="675"/>
    </row>
    <row r="32" spans="1:6" ht="13.5" thickBot="1" x14ac:dyDescent="0.25">
      <c r="A32" s="369" t="s">
        <v>44</v>
      </c>
      <c r="B32" s="375" t="s">
        <v>166</v>
      </c>
      <c r="C32" s="376">
        <f>IF(C17-E17&lt;0,E17-C17,"-")</f>
        <v>464442462</v>
      </c>
      <c r="D32" s="375" t="s">
        <v>167</v>
      </c>
      <c r="E32" s="376" t="str">
        <f>IF(C17-E17&gt;0,C17-E17,"-")</f>
        <v>-</v>
      </c>
      <c r="F32" s="675"/>
    </row>
    <row r="33" spans="1:6" ht="13.5" thickBot="1" x14ac:dyDescent="0.25">
      <c r="A33" s="369" t="s">
        <v>45</v>
      </c>
      <c r="B33" s="375" t="s">
        <v>233</v>
      </c>
      <c r="C33" s="376" t="str">
        <f>IF(C17+C30-E26&lt;0,E26-(C17+C30),"-")</f>
        <v>-</v>
      </c>
      <c r="D33" s="375" t="s">
        <v>234</v>
      </c>
      <c r="E33" s="376">
        <f>IF(C17+C30-E26&gt;0,C17+C30-E26,"-")</f>
        <v>861881288</v>
      </c>
      <c r="F33" s="675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53" t="s">
        <v>151</v>
      </c>
      <c r="E1" s="156" t="s">
        <v>155</v>
      </c>
    </row>
    <row r="3" spans="1:5" x14ac:dyDescent="0.2">
      <c r="A3" s="160"/>
      <c r="B3" s="161"/>
      <c r="C3" s="160"/>
      <c r="D3" s="163"/>
      <c r="E3" s="161"/>
    </row>
    <row r="4" spans="1:5" ht="15.75" x14ac:dyDescent="0.25">
      <c r="A4" s="106" t="str">
        <f>+ÖSSZEFÜGGÉSEK!A5</f>
        <v>2018. évi előirányzat BEVÉTELEK</v>
      </c>
      <c r="B4" s="162"/>
      <c r="C4" s="171"/>
      <c r="D4" s="163"/>
      <c r="E4" s="161"/>
    </row>
    <row r="5" spans="1:5" x14ac:dyDescent="0.2">
      <c r="A5" s="160"/>
      <c r="B5" s="161"/>
      <c r="C5" s="160"/>
      <c r="D5" s="163"/>
      <c r="E5" s="161"/>
    </row>
    <row r="6" spans="1:5" x14ac:dyDescent="0.2">
      <c r="A6" s="160" t="s">
        <v>547</v>
      </c>
      <c r="B6" s="161">
        <f>+'1.1.sz.mell.'!C63</f>
        <v>1423133410</v>
      </c>
      <c r="C6" s="160" t="s">
        <v>489</v>
      </c>
      <c r="D6" s="163">
        <f>+'2.1.sz.mell  '!C18+'2.2.sz.mell  '!C17</f>
        <v>1423133410</v>
      </c>
      <c r="E6" s="161">
        <f t="shared" ref="E6:E15" si="0">+B6-D6</f>
        <v>0</v>
      </c>
    </row>
    <row r="7" spans="1:5" x14ac:dyDescent="0.2">
      <c r="A7" s="160" t="s">
        <v>548</v>
      </c>
      <c r="B7" s="161">
        <f>+'1.1.sz.mell.'!C87</f>
        <v>695947492</v>
      </c>
      <c r="C7" s="160" t="s">
        <v>490</v>
      </c>
      <c r="D7" s="163">
        <f>+'2.1.sz.mell  '!C29+'2.2.sz.mell  '!C30</f>
        <v>695947492</v>
      </c>
      <c r="E7" s="161">
        <f t="shared" si="0"/>
        <v>0</v>
      </c>
    </row>
    <row r="8" spans="1:5" x14ac:dyDescent="0.2">
      <c r="A8" s="160" t="s">
        <v>549</v>
      </c>
      <c r="B8" s="161">
        <f>+'1.1.sz.mell.'!C88</f>
        <v>2119080902</v>
      </c>
      <c r="C8" s="160" t="s">
        <v>491</v>
      </c>
      <c r="D8" s="163">
        <f>+'2.1.sz.mell  '!C30+'2.2.sz.mell  '!C31</f>
        <v>2119080902</v>
      </c>
      <c r="E8" s="161">
        <f t="shared" si="0"/>
        <v>0</v>
      </c>
    </row>
    <row r="9" spans="1:5" x14ac:dyDescent="0.2">
      <c r="A9" s="160"/>
      <c r="B9" s="161"/>
      <c r="C9" s="160"/>
      <c r="D9" s="163"/>
      <c r="E9" s="161"/>
    </row>
    <row r="10" spans="1:5" x14ac:dyDescent="0.2">
      <c r="A10" s="160"/>
      <c r="B10" s="161"/>
      <c r="C10" s="160"/>
      <c r="D10" s="163"/>
      <c r="E10" s="161"/>
    </row>
    <row r="11" spans="1:5" ht="15.75" x14ac:dyDescent="0.25">
      <c r="A11" s="106" t="str">
        <f>+ÖSSZEFÜGGÉSEK!A12</f>
        <v>2018. évi előirányzat KIADÁSOK</v>
      </c>
      <c r="B11" s="162"/>
      <c r="C11" s="171"/>
      <c r="D11" s="163"/>
      <c r="E11" s="161"/>
    </row>
    <row r="12" spans="1:5" x14ac:dyDescent="0.2">
      <c r="A12" s="160"/>
      <c r="B12" s="161"/>
      <c r="C12" s="160"/>
      <c r="D12" s="163"/>
      <c r="E12" s="161"/>
    </row>
    <row r="13" spans="1:5" x14ac:dyDescent="0.2">
      <c r="A13" s="160" t="s">
        <v>550</v>
      </c>
      <c r="B13" s="161">
        <f>+'1.1.sz.mell.'!C129</f>
        <v>2095168762</v>
      </c>
      <c r="C13" s="160" t="s">
        <v>492</v>
      </c>
      <c r="D13" s="163">
        <f>+'2.1.sz.mell  '!E18+'2.2.sz.mell  '!E17</f>
        <v>2095168762</v>
      </c>
      <c r="E13" s="161">
        <f t="shared" si="0"/>
        <v>0</v>
      </c>
    </row>
    <row r="14" spans="1:5" x14ac:dyDescent="0.2">
      <c r="A14" s="160" t="s">
        <v>551</v>
      </c>
      <c r="B14" s="161">
        <f>+'1.1.sz.mell.'!C154</f>
        <v>23912140</v>
      </c>
      <c r="C14" s="160" t="s">
        <v>493</v>
      </c>
      <c r="D14" s="163">
        <f>+'2.1.sz.mell  '!E29+'2.2.sz.mell  '!E30</f>
        <v>23912140</v>
      </c>
      <c r="E14" s="161">
        <f t="shared" si="0"/>
        <v>0</v>
      </c>
    </row>
    <row r="15" spans="1:5" x14ac:dyDescent="0.2">
      <c r="A15" s="160" t="s">
        <v>552</v>
      </c>
      <c r="B15" s="161">
        <f>+'1.1.sz.mell.'!C155</f>
        <v>2119080902</v>
      </c>
      <c r="C15" s="160" t="s">
        <v>494</v>
      </c>
      <c r="D15" s="163">
        <f>+'2.1.sz.mell  '!E30+'2.2.sz.mell  '!E31</f>
        <v>2119080902</v>
      </c>
      <c r="E15" s="161">
        <f t="shared" si="0"/>
        <v>0</v>
      </c>
    </row>
    <row r="16" spans="1:5" x14ac:dyDescent="0.2">
      <c r="A16" s="154"/>
      <c r="B16" s="154"/>
      <c r="C16" s="160"/>
      <c r="D16" s="163"/>
      <c r="E16" s="155"/>
    </row>
    <row r="17" spans="1:5" x14ac:dyDescent="0.2">
      <c r="A17" s="154"/>
      <c r="B17" s="154"/>
      <c r="C17" s="154"/>
      <c r="D17" s="154"/>
      <c r="E17" s="154"/>
    </row>
    <row r="18" spans="1:5" x14ac:dyDescent="0.2">
      <c r="A18" s="154"/>
      <c r="B18" s="154"/>
      <c r="C18" s="154"/>
      <c r="D18" s="154"/>
      <c r="E18" s="154"/>
    </row>
    <row r="19" spans="1:5" x14ac:dyDescent="0.2">
      <c r="A19" s="154"/>
      <c r="B19" s="154"/>
      <c r="C19" s="154"/>
      <c r="D19" s="154"/>
      <c r="E19" s="154"/>
    </row>
  </sheetData>
  <phoneticPr fontId="30" type="noConversion"/>
  <conditionalFormatting sqref="E3:E15">
    <cfRule type="cellIs" dxfId="1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C3" sqref="C3:E3"/>
    </sheetView>
  </sheetViews>
  <sheetFormatPr defaultRowHeight="15" x14ac:dyDescent="0.25"/>
  <cols>
    <col min="1" max="1" width="5.6640625" style="174" customWidth="1"/>
    <col min="2" max="2" width="36.83203125" style="174" customWidth="1"/>
    <col min="3" max="6" width="14" style="174" customWidth="1"/>
    <col min="7" max="16384" width="9.33203125" style="174"/>
  </cols>
  <sheetData>
    <row r="1" spans="1:7" ht="33" customHeight="1" x14ac:dyDescent="0.25">
      <c r="A1" s="679" t="s">
        <v>567</v>
      </c>
      <c r="B1" s="679"/>
      <c r="C1" s="679"/>
      <c r="D1" s="679"/>
      <c r="E1" s="679"/>
      <c r="F1" s="679"/>
    </row>
    <row r="2" spans="1:7" ht="15.95" customHeight="1" thickBot="1" x14ac:dyDescent="0.3">
      <c r="A2" s="175"/>
      <c r="B2" s="175"/>
      <c r="C2" s="680"/>
      <c r="D2" s="680"/>
      <c r="E2" s="687" t="s">
        <v>55</v>
      </c>
      <c r="F2" s="687"/>
      <c r="G2" s="181"/>
    </row>
    <row r="3" spans="1:7" ht="63" customHeight="1" x14ac:dyDescent="0.25">
      <c r="A3" s="683" t="s">
        <v>16</v>
      </c>
      <c r="B3" s="685" t="s">
        <v>194</v>
      </c>
      <c r="C3" s="685" t="s">
        <v>250</v>
      </c>
      <c r="D3" s="685"/>
      <c r="E3" s="685"/>
      <c r="F3" s="681" t="s">
        <v>503</v>
      </c>
    </row>
    <row r="4" spans="1:7" ht="15.75" thickBot="1" x14ac:dyDescent="0.3">
      <c r="A4" s="684"/>
      <c r="B4" s="686"/>
      <c r="C4" s="529">
        <f>+LEFT(ÖSSZEFÜGGÉSEK!A5,4)+1</f>
        <v>2019</v>
      </c>
      <c r="D4" s="529">
        <f>+C4+1</f>
        <v>2020</v>
      </c>
      <c r="E4" s="529">
        <f>+D4+1</f>
        <v>2021</v>
      </c>
      <c r="F4" s="682"/>
    </row>
    <row r="5" spans="1:7" ht="15.75" thickBot="1" x14ac:dyDescent="0.3">
      <c r="A5" s="178"/>
      <c r="B5" s="179" t="s">
        <v>495</v>
      </c>
      <c r="C5" s="179" t="s">
        <v>496</v>
      </c>
      <c r="D5" s="179" t="s">
        <v>497</v>
      </c>
      <c r="E5" s="179" t="s">
        <v>499</v>
      </c>
      <c r="F5" s="180" t="s">
        <v>498</v>
      </c>
    </row>
    <row r="6" spans="1:7" ht="26.25" x14ac:dyDescent="0.25">
      <c r="A6" s="177" t="s">
        <v>18</v>
      </c>
      <c r="B6" s="655" t="s">
        <v>667</v>
      </c>
      <c r="C6" s="656">
        <v>7189</v>
      </c>
      <c r="D6" s="656">
        <v>8639</v>
      </c>
      <c r="E6" s="656">
        <v>45527</v>
      </c>
      <c r="F6" s="657">
        <f>SUM(C6:E6)</f>
        <v>61355</v>
      </c>
    </row>
    <row r="7" spans="1:7" x14ac:dyDescent="0.25">
      <c r="A7" s="176" t="s">
        <v>19</v>
      </c>
      <c r="B7" s="198" t="s">
        <v>668</v>
      </c>
      <c r="C7" s="199">
        <v>1208</v>
      </c>
      <c r="D7" s="199">
        <v>503</v>
      </c>
      <c r="E7" s="199"/>
      <c r="F7" s="184">
        <f>SUM(C7:E7)</f>
        <v>1711</v>
      </c>
    </row>
    <row r="8" spans="1:7" x14ac:dyDescent="0.25">
      <c r="A8" s="176" t="s">
        <v>20</v>
      </c>
      <c r="B8" s="198"/>
      <c r="C8" s="199"/>
      <c r="D8" s="199"/>
      <c r="E8" s="199"/>
      <c r="F8" s="184">
        <f>SUM(C8:E8)</f>
        <v>0</v>
      </c>
    </row>
    <row r="9" spans="1:7" x14ac:dyDescent="0.25">
      <c r="A9" s="176" t="s">
        <v>21</v>
      </c>
      <c r="B9" s="198"/>
      <c r="C9" s="199"/>
      <c r="D9" s="199"/>
      <c r="E9" s="199"/>
      <c r="F9" s="184">
        <f>SUM(C9:E9)</f>
        <v>0</v>
      </c>
    </row>
    <row r="10" spans="1:7" ht="15.75" thickBot="1" x14ac:dyDescent="0.3">
      <c r="A10" s="182" t="s">
        <v>22</v>
      </c>
      <c r="B10" s="200"/>
      <c r="C10" s="201"/>
      <c r="D10" s="201"/>
      <c r="E10" s="201"/>
      <c r="F10" s="184">
        <f>SUM(C10:E10)</f>
        <v>0</v>
      </c>
    </row>
    <row r="11" spans="1:7" s="514" customFormat="1" thickBot="1" x14ac:dyDescent="0.25">
      <c r="A11" s="511" t="s">
        <v>23</v>
      </c>
      <c r="B11" s="183" t="s">
        <v>195</v>
      </c>
      <c r="C11" s="512">
        <f>SUM(C6:C10)</f>
        <v>8397</v>
      </c>
      <c r="D11" s="512">
        <f>SUM(D6:D10)</f>
        <v>9142</v>
      </c>
      <c r="E11" s="512">
        <f>SUM(E6:E10)</f>
        <v>45527</v>
      </c>
      <c r="F11" s="513">
        <f>SUM(F6:F10)</f>
        <v>63066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4/2018. (II. 20.)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Windows-felhasználó</cp:lastModifiedBy>
  <cp:lastPrinted>2018-03-02T09:27:55Z</cp:lastPrinted>
  <dcterms:created xsi:type="dcterms:W3CDTF">1999-10-30T10:30:45Z</dcterms:created>
  <dcterms:modified xsi:type="dcterms:W3CDTF">2018-03-06T11:00:38Z</dcterms:modified>
</cp:coreProperties>
</file>