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Margó\KÖLTSÉGVETÉS\2019\Költségvetés módosítás 2019\2019 05 27\"/>
    </mc:Choice>
  </mc:AlternateContent>
  <bookViews>
    <workbookView xWindow="0" yWindow="0" windowWidth="20490" windowHeight="7155" tabRatio="727" activeTab="5"/>
  </bookViews>
  <sheets>
    <sheet name="ÖSSZEFÜGGÉSEK" sheetId="75" r:id="rId1"/>
    <sheet name="1.1.sz.mell." sheetId="1" r:id="rId2"/>
    <sheet name="1.2.sz.mell." sheetId="116" r:id="rId3"/>
    <sheet name="1.3.sz.mell." sheetId="117" r:id="rId4"/>
    <sheet name="1.4.sz.mell." sheetId="118" r:id="rId5"/>
    <sheet name="2.1.sz.mell  " sheetId="73" r:id="rId6"/>
    <sheet name="2.2.sz.mell  " sheetId="61" r:id="rId7"/>
    <sheet name="ELLENŐRZÉS-1.sz.2.a.sz.2.b.sz." sheetId="76" r:id="rId8"/>
    <sheet name="3.sz.mell.  " sheetId="62" r:id="rId9"/>
    <sheet name="4.sz.mell." sheetId="77" r:id="rId10"/>
    <sheet name="5.sz.mell." sheetId="78" r:id="rId11"/>
    <sheet name="6.sz.mell." sheetId="63" r:id="rId12"/>
    <sheet name="7.sz.mell." sheetId="64" r:id="rId13"/>
    <sheet name="8. sz. mell. " sheetId="71" r:id="rId14"/>
    <sheet name="9.1. sz. mell ÖNK" sheetId="3" r:id="rId15"/>
    <sheet name="9.1.1. sz. mell ÖNK" sheetId="119" r:id="rId16"/>
    <sheet name="9.1.2. sz. mell ÖNK" sheetId="120" r:id="rId17"/>
    <sheet name="9.1.3. sz. mell ÖNK" sheetId="121" r:id="rId18"/>
    <sheet name="9.2. sz. mell HIV" sheetId="79" r:id="rId19"/>
    <sheet name="9.2.1. sz. mell HIV" sheetId="122" r:id="rId20"/>
    <sheet name="9.2.2. sz.  mell HIV" sheetId="123" r:id="rId21"/>
    <sheet name="9.2.3. sz. mell HIV" sheetId="124" r:id="rId22"/>
    <sheet name="9.3. sz. mell GAM" sheetId="105" r:id="rId23"/>
    <sheet name="9.3.1. sz. mell GAM" sheetId="125" r:id="rId24"/>
    <sheet name="9.3.2. sz. mell GAM" sheetId="126" r:id="rId25"/>
    <sheet name="9.3.3. sz. mell GAM" sheetId="127" r:id="rId26"/>
    <sheet name="9.4. sz. mell ILMKS" sheetId="129" r:id="rId27"/>
    <sheet name="9.4.1. sz. mell ILMKS" sheetId="130" r:id="rId28"/>
    <sheet name="9.4.2. sz. mell ILMKS" sheetId="131" r:id="rId29"/>
    <sheet name="9.4.3. sz. mell ILMKS" sheetId="132" r:id="rId30"/>
    <sheet name="9.5. sz. mell OVI" sheetId="133" r:id="rId31"/>
    <sheet name="9.5.1. sz. mell OVI" sheetId="134" r:id="rId32"/>
    <sheet name="9.5.2. sz. mell OVI" sheetId="135" r:id="rId33"/>
    <sheet name="9.5.3. sz. mell OVI" sheetId="136" r:id="rId34"/>
    <sheet name="9.6. sz. mell CSSK" sheetId="138" r:id="rId35"/>
    <sheet name="9.6.1. sz. mell CSSK" sheetId="139" r:id="rId36"/>
    <sheet name="9.6.2. sz. mell CSSK" sheetId="140" r:id="rId37"/>
    <sheet name="9.6.3. sz. mell CSSK" sheetId="141" r:id="rId38"/>
    <sheet name="10.sz.mell" sheetId="89" r:id="rId39"/>
    <sheet name="1. sz tájékoztató t." sheetId="87" r:id="rId40"/>
    <sheet name="2. sz tájékoztató t" sheetId="142" r:id="rId41"/>
    <sheet name="3. sz tájékoztató t." sheetId="88" r:id="rId42"/>
    <sheet name="4.sz tájékoztató t." sheetId="24" r:id="rId43"/>
    <sheet name="5.sz tájékoztató t." sheetId="2" r:id="rId44"/>
    <sheet name="6.sz tájékoztató t." sheetId="70" r:id="rId45"/>
    <sheet name="7. sz tájékoztató t." sheetId="137" r:id="rId46"/>
    <sheet name="Munka1" sheetId="94" r:id="rId47"/>
  </sheets>
  <definedNames>
    <definedName name="_xlnm.Print_Titles" localSheetId="14">'9.1. sz. mell ÖNK'!$1:$6</definedName>
    <definedName name="_xlnm.Print_Titles" localSheetId="15">'9.1.1. sz. mell ÖNK'!$1:$6</definedName>
    <definedName name="_xlnm.Print_Titles" localSheetId="16">'9.1.2. sz. mell ÖNK'!$1:$6</definedName>
    <definedName name="_xlnm.Print_Titles" localSheetId="17">'9.1.3. sz. mell ÖNK'!$1:$6</definedName>
    <definedName name="_xlnm.Print_Titles" localSheetId="18">'9.2. sz. mell HIV'!$1:$6</definedName>
    <definedName name="_xlnm.Print_Titles" localSheetId="19">'9.2.1. sz. mell HIV'!$1:$6</definedName>
    <definedName name="_xlnm.Print_Titles" localSheetId="20">'9.2.2. sz.  mell HIV'!$1:$6</definedName>
    <definedName name="_xlnm.Print_Titles" localSheetId="21">'9.2.3. sz. mell HIV'!$1:$6</definedName>
    <definedName name="_xlnm.Print_Titles" localSheetId="22">'9.3. sz. mell GAM'!$1:$6</definedName>
    <definedName name="_xlnm.Print_Titles" localSheetId="23">'9.3.1. sz. mell GAM'!$1:$6</definedName>
    <definedName name="_xlnm.Print_Titles" localSheetId="24">'9.3.2. sz. mell GAM'!$1:$6</definedName>
    <definedName name="_xlnm.Print_Titles" localSheetId="25">'9.3.3. sz. mell GAM'!$1:$6</definedName>
    <definedName name="_xlnm.Print_Titles" localSheetId="26">'9.4. sz. mell ILMKS'!$1:$6</definedName>
    <definedName name="_xlnm.Print_Titles" localSheetId="27">'9.4.1. sz. mell ILMKS'!$1:$6</definedName>
    <definedName name="_xlnm.Print_Titles" localSheetId="28">'9.4.2. sz. mell ILMKS'!$1:$6</definedName>
    <definedName name="_xlnm.Print_Titles" localSheetId="29">'9.4.3. sz. mell ILMKS'!$1:$6</definedName>
    <definedName name="_xlnm.Print_Titles" localSheetId="30">'9.5. sz. mell OVI'!$1:$6</definedName>
    <definedName name="_xlnm.Print_Titles" localSheetId="31">'9.5.1. sz. mell OVI'!$1:$6</definedName>
    <definedName name="_xlnm.Print_Titles" localSheetId="32">'9.5.2. sz. mell OVI'!$1:$6</definedName>
    <definedName name="_xlnm.Print_Titles" localSheetId="33">'9.5.3. sz. mell OVI'!$1:$6</definedName>
    <definedName name="_xlnm.Print_Titles" localSheetId="34">'9.6. sz. mell CSSK'!$1:$6</definedName>
    <definedName name="_xlnm.Print_Titles" localSheetId="35">'9.6.1. sz. mell CSSK'!$1:$6</definedName>
    <definedName name="_xlnm.Print_Titles" localSheetId="36">'9.6.2. sz. mell CSSK'!$1:$6</definedName>
    <definedName name="_xlnm.Print_Titles" localSheetId="37">'9.6.3. sz. mell CSSK'!$1:$6</definedName>
    <definedName name="_xlnm.Print_Area" localSheetId="39">'1. sz tájékoztató t.'!$A$1:$E$154</definedName>
    <definedName name="_xlnm.Print_Area" localSheetId="1">'1.1.sz.mell.'!$A$1:$C$160</definedName>
    <definedName name="_xlnm.Print_Area" localSheetId="2">'1.2.sz.mell.'!$A$1:$C$160</definedName>
    <definedName name="_xlnm.Print_Area" localSheetId="3">'1.3.sz.mell.'!$A$1:$C$160</definedName>
    <definedName name="_xlnm.Print_Area" localSheetId="4">'1.4.sz.mell.'!$A$1:$C$160</definedName>
    <definedName name="_xlnm.Print_Area" localSheetId="5">'2.1.sz.mell  '!$A$1:$F$33</definedName>
    <definedName name="_xlnm.Print_Area" localSheetId="45">'7. sz tájékoztató t.'!$A$1:$E$37</definedName>
    <definedName name="_xlnm.Print_Area" localSheetId="14">'9.1. sz. mell ÖNK'!$A$1:$C$160</definedName>
    <definedName name="_xlnm.Print_Area" localSheetId="15">'9.1.1. sz. mell ÖNK'!$A$1:$C$160</definedName>
  </definedNames>
  <calcPr calcId="162913"/>
</workbook>
</file>

<file path=xl/calcChain.xml><?xml version="1.0" encoding="utf-8"?>
<calcChain xmlns="http://schemas.openxmlformats.org/spreadsheetml/2006/main">
  <c r="C20" i="73" l="1"/>
  <c r="C115" i="119"/>
  <c r="C27" i="119"/>
  <c r="C119" i="119"/>
  <c r="C74" i="116" l="1"/>
  <c r="C74" i="1"/>
  <c r="C77" i="119"/>
  <c r="C41" i="122"/>
  <c r="C40" i="125"/>
  <c r="C48" i="131"/>
  <c r="C39" i="129"/>
  <c r="C40" i="130"/>
  <c r="C40" i="134"/>
  <c r="C38" i="138"/>
  <c r="C39" i="138"/>
  <c r="C40" i="139"/>
  <c r="C49" i="122" l="1"/>
  <c r="C117" i="119" l="1"/>
  <c r="C48" i="122" l="1"/>
  <c r="C48" i="124"/>
  <c r="C47" i="124"/>
  <c r="C47" i="122"/>
  <c r="C23" i="122" l="1"/>
  <c r="C14" i="125" l="1"/>
  <c r="C10" i="125"/>
  <c r="E15" i="142" l="1"/>
  <c r="I14" i="142"/>
  <c r="E14" i="142"/>
  <c r="D186" i="71" l="1"/>
  <c r="B186" i="71"/>
  <c r="E185" i="71"/>
  <c r="E184" i="71"/>
  <c r="E183" i="71"/>
  <c r="E182" i="71"/>
  <c r="E181" i="71"/>
  <c r="E180" i="71"/>
  <c r="E179" i="71"/>
  <c r="C186" i="71"/>
  <c r="C169" i="71" s="1"/>
  <c r="D178" i="71"/>
  <c r="C178" i="71"/>
  <c r="B178" i="71"/>
  <c r="D176" i="71"/>
  <c r="B176" i="71"/>
  <c r="E175" i="71"/>
  <c r="E174" i="71"/>
  <c r="E173" i="71"/>
  <c r="E172" i="71"/>
  <c r="E171" i="71"/>
  <c r="E170" i="71"/>
  <c r="D168" i="71"/>
  <c r="C168" i="71"/>
  <c r="B168" i="71"/>
  <c r="C146" i="71"/>
  <c r="C123" i="71"/>
  <c r="C100" i="71"/>
  <c r="C54" i="71"/>
  <c r="C31" i="71"/>
  <c r="C7" i="71"/>
  <c r="C135" i="71"/>
  <c r="C156" i="71"/>
  <c r="C133" i="71"/>
  <c r="E186" i="71" l="1"/>
  <c r="C176" i="71"/>
  <c r="E169" i="71"/>
  <c r="E176" i="71" s="1"/>
  <c r="E28" i="73" l="1"/>
  <c r="C52" i="119"/>
  <c r="F24" i="63" l="1"/>
  <c r="C20" i="119" l="1"/>
  <c r="C24" i="116" l="1"/>
  <c r="D11" i="88"/>
  <c r="D9" i="88"/>
  <c r="C33" i="88"/>
  <c r="C11" i="88"/>
  <c r="C9" i="88"/>
  <c r="J29" i="142"/>
  <c r="I28" i="142"/>
  <c r="H28" i="142"/>
  <c r="G28" i="142"/>
  <c r="F28" i="142"/>
  <c r="J28" i="142" s="1"/>
  <c r="E28" i="142"/>
  <c r="J27" i="142"/>
  <c r="I26" i="142"/>
  <c r="H26" i="142"/>
  <c r="G26" i="142"/>
  <c r="F26" i="142"/>
  <c r="E26" i="142"/>
  <c r="J26" i="142" s="1"/>
  <c r="J25" i="142"/>
  <c r="I24" i="142"/>
  <c r="H24" i="142"/>
  <c r="G24" i="142"/>
  <c r="F24" i="142"/>
  <c r="J24" i="142" s="1"/>
  <c r="E24" i="142"/>
  <c r="J22" i="142"/>
  <c r="I22" i="142"/>
  <c r="J20" i="142"/>
  <c r="I20" i="142"/>
  <c r="J18" i="142"/>
  <c r="I18" i="142"/>
  <c r="J17" i="142"/>
  <c r="E17" i="142"/>
  <c r="J16" i="142"/>
  <c r="E16" i="142"/>
  <c r="J15" i="142"/>
  <c r="J14" i="142"/>
  <c r="E13" i="142"/>
  <c r="J13" i="142" s="1"/>
  <c r="I12" i="142"/>
  <c r="E12" i="142"/>
  <c r="J12" i="142" s="1"/>
  <c r="J11" i="142"/>
  <c r="E11" i="142"/>
  <c r="I10" i="142"/>
  <c r="E10" i="142"/>
  <c r="J10" i="142" s="1"/>
  <c r="I9" i="142"/>
  <c r="H9" i="142"/>
  <c r="G9" i="142"/>
  <c r="F9" i="142"/>
  <c r="E9" i="142"/>
  <c r="J8" i="142"/>
  <c r="J7" i="142"/>
  <c r="I6" i="142"/>
  <c r="H6" i="142"/>
  <c r="G6" i="142"/>
  <c r="G30" i="142" s="1"/>
  <c r="F6" i="142"/>
  <c r="F30" i="142" s="1"/>
  <c r="E6" i="142"/>
  <c r="J6" i="142" s="1"/>
  <c r="I4" i="142"/>
  <c r="H4" i="142"/>
  <c r="G4" i="142"/>
  <c r="F4" i="142"/>
  <c r="E3" i="142"/>
  <c r="H30" i="142" l="1"/>
  <c r="J9" i="142"/>
  <c r="I30" i="142"/>
  <c r="J30" i="142"/>
  <c r="E30" i="142"/>
  <c r="C28" i="129" l="1"/>
  <c r="C23" i="129" l="1"/>
  <c r="C13" i="119" l="1"/>
  <c r="E21" i="119" l="1"/>
  <c r="C33" i="119" l="1"/>
  <c r="B40" i="2" l="1"/>
  <c r="B163" i="71" l="1"/>
  <c r="E162" i="71"/>
  <c r="E161" i="71"/>
  <c r="E160" i="71"/>
  <c r="E159" i="71"/>
  <c r="E158" i="71"/>
  <c r="E157" i="71"/>
  <c r="D163" i="71"/>
  <c r="E152" i="71"/>
  <c r="E151" i="71"/>
  <c r="E150" i="71"/>
  <c r="E149" i="71"/>
  <c r="E147" i="71"/>
  <c r="E139" i="71"/>
  <c r="E138" i="71"/>
  <c r="E137" i="71"/>
  <c r="E136" i="71"/>
  <c r="D140" i="71"/>
  <c r="D125" i="71" s="1"/>
  <c r="D130" i="71" s="1"/>
  <c r="C140" i="71"/>
  <c r="C130" i="71" s="1"/>
  <c r="E135" i="71"/>
  <c r="E134" i="71"/>
  <c r="E133" i="71"/>
  <c r="E129" i="71"/>
  <c r="E128" i="71"/>
  <c r="E127" i="71"/>
  <c r="E126" i="71"/>
  <c r="E124" i="71"/>
  <c r="E123" i="71"/>
  <c r="D117" i="71"/>
  <c r="B117" i="71"/>
  <c r="E116" i="71"/>
  <c r="E115" i="71"/>
  <c r="E114" i="71"/>
  <c r="E113" i="71"/>
  <c r="E112" i="71"/>
  <c r="C117" i="71"/>
  <c r="E110" i="71"/>
  <c r="D107" i="71"/>
  <c r="E106" i="71"/>
  <c r="E105" i="71"/>
  <c r="E104" i="71"/>
  <c r="E103" i="71"/>
  <c r="E101" i="71"/>
  <c r="B107" i="71"/>
  <c r="D94" i="71"/>
  <c r="C94" i="71"/>
  <c r="B94" i="71"/>
  <c r="E93" i="71"/>
  <c r="E92" i="71"/>
  <c r="E91" i="71"/>
  <c r="E90" i="71"/>
  <c r="E89" i="71"/>
  <c r="E88" i="71"/>
  <c r="E87" i="71"/>
  <c r="D84" i="71"/>
  <c r="C84" i="71"/>
  <c r="B84" i="71"/>
  <c r="E83" i="71"/>
  <c r="E82" i="71"/>
  <c r="E81" i="71"/>
  <c r="E80" i="71"/>
  <c r="E79" i="71"/>
  <c r="E78" i="71"/>
  <c r="E77" i="71"/>
  <c r="D71" i="71"/>
  <c r="C71" i="71"/>
  <c r="B71" i="71"/>
  <c r="E70" i="71"/>
  <c r="E69" i="71"/>
  <c r="E68" i="71"/>
  <c r="E67" i="71"/>
  <c r="E66" i="71"/>
  <c r="E65" i="71"/>
  <c r="E64" i="71"/>
  <c r="D61" i="71"/>
  <c r="C61" i="71"/>
  <c r="B61" i="71"/>
  <c r="E60" i="71"/>
  <c r="E59" i="71"/>
  <c r="E58" i="71"/>
  <c r="E57" i="71"/>
  <c r="E56" i="71"/>
  <c r="E55" i="71"/>
  <c r="E54" i="71"/>
  <c r="D48" i="71"/>
  <c r="C48" i="71"/>
  <c r="B48" i="71"/>
  <c r="E47" i="71"/>
  <c r="E46" i="71"/>
  <c r="E45" i="71"/>
  <c r="E44" i="71"/>
  <c r="E43" i="71"/>
  <c r="E42" i="71"/>
  <c r="E41" i="71"/>
  <c r="D38" i="71"/>
  <c r="C38" i="71"/>
  <c r="B38" i="71"/>
  <c r="E37" i="71"/>
  <c r="E36" i="71"/>
  <c r="E35" i="71"/>
  <c r="E34" i="71"/>
  <c r="E33" i="71"/>
  <c r="E32" i="71"/>
  <c r="E31" i="71"/>
  <c r="D24" i="71"/>
  <c r="C24" i="71"/>
  <c r="B24" i="71"/>
  <c r="E23" i="71"/>
  <c r="E22" i="71"/>
  <c r="E21" i="71"/>
  <c r="E20" i="71"/>
  <c r="E19" i="71"/>
  <c r="E18" i="71"/>
  <c r="E17" i="71"/>
  <c r="D14" i="71"/>
  <c r="B14" i="71"/>
  <c r="E9" i="71" s="1"/>
  <c r="E13" i="71"/>
  <c r="E12" i="71"/>
  <c r="E11" i="71"/>
  <c r="E10" i="71"/>
  <c r="E8" i="71"/>
  <c r="D16" i="71"/>
  <c r="D40" i="71" s="1"/>
  <c r="D53" i="71" s="1"/>
  <c r="D63" i="71" s="1"/>
  <c r="D76" i="71" s="1"/>
  <c r="D86" i="71" s="1"/>
  <c r="D99" i="71" s="1"/>
  <c r="D109" i="71" s="1"/>
  <c r="D122" i="71" s="1"/>
  <c r="D132" i="71" s="1"/>
  <c r="D145" i="71" s="1"/>
  <c r="D155" i="71" s="1"/>
  <c r="C16" i="71"/>
  <c r="C40" i="71" s="1"/>
  <c r="C53" i="71" s="1"/>
  <c r="C63" i="71" s="1"/>
  <c r="C76" i="71" s="1"/>
  <c r="C86" i="71" s="1"/>
  <c r="C99" i="71" s="1"/>
  <c r="C109" i="71" s="1"/>
  <c r="C122" i="71" s="1"/>
  <c r="C132" i="71" s="1"/>
  <c r="C145" i="71" s="1"/>
  <c r="C155" i="71" s="1"/>
  <c r="B16" i="71"/>
  <c r="B40" i="71" s="1"/>
  <c r="B53" i="71" s="1"/>
  <c r="B63" i="71" s="1"/>
  <c r="B76" i="71" s="1"/>
  <c r="B86" i="71" s="1"/>
  <c r="B99" i="71" s="1"/>
  <c r="B109" i="71" s="1"/>
  <c r="B122" i="71" s="1"/>
  <c r="B132" i="71" s="1"/>
  <c r="B145" i="71" s="1"/>
  <c r="B155" i="71" s="1"/>
  <c r="E140" i="71" l="1"/>
  <c r="E94" i="71"/>
  <c r="E84" i="71"/>
  <c r="E71" i="71"/>
  <c r="E48" i="71"/>
  <c r="E38" i="71"/>
  <c r="E61" i="71"/>
  <c r="E24" i="71"/>
  <c r="E156" i="71"/>
  <c r="E163" i="71" s="1"/>
  <c r="E102" i="71"/>
  <c r="B140" i="71"/>
  <c r="B125" i="71" s="1"/>
  <c r="B153" i="71"/>
  <c r="C163" i="71"/>
  <c r="C153" i="71" s="1"/>
  <c r="E111" i="71"/>
  <c r="E117" i="71" s="1"/>
  <c r="B130" i="71" l="1"/>
  <c r="E125" i="71"/>
  <c r="E130" i="71" s="1"/>
  <c r="E148" i="71"/>
  <c r="D153" i="71" l="1"/>
  <c r="E146" i="71"/>
  <c r="E153" i="71" s="1"/>
  <c r="C98" i="3" l="1"/>
  <c r="F17" i="63"/>
  <c r="F18" i="63"/>
  <c r="F19" i="63"/>
  <c r="F20" i="63"/>
  <c r="F21" i="63"/>
  <c r="F22" i="63"/>
  <c r="E120" i="119" l="1"/>
  <c r="E116" i="119"/>
  <c r="C100" i="119"/>
  <c r="C17" i="117" l="1"/>
  <c r="F15" i="63" l="1"/>
  <c r="C52" i="138"/>
  <c r="C29" i="116" l="1"/>
  <c r="C32" i="3"/>
  <c r="C29" i="1" s="1"/>
  <c r="C113" i="119" l="1"/>
  <c r="E12" i="119" l="1"/>
  <c r="E6" i="63"/>
  <c r="E26" i="63" s="1"/>
  <c r="B6" i="63" l="1"/>
  <c r="B26" i="63" s="1"/>
  <c r="F21" i="119" l="1"/>
  <c r="C1" i="141" l="1"/>
  <c r="C1" i="140"/>
  <c r="C1" i="139"/>
  <c r="C1" i="138"/>
  <c r="C1" i="136"/>
  <c r="C1" i="135"/>
  <c r="C1" i="134"/>
  <c r="C1" i="133"/>
  <c r="C1" i="132"/>
  <c r="C1" i="131"/>
  <c r="C1" i="130"/>
  <c r="C1" i="129"/>
  <c r="C1" i="127"/>
  <c r="C1" i="126"/>
  <c r="C1" i="125"/>
  <c r="C1" i="105"/>
  <c r="C1" i="124"/>
  <c r="C1" i="123"/>
  <c r="C1" i="122"/>
  <c r="C1" i="79"/>
  <c r="C1" i="121"/>
  <c r="C1" i="120"/>
  <c r="C1" i="119"/>
  <c r="C1" i="3"/>
  <c r="F1" i="61"/>
  <c r="F1" i="73"/>
  <c r="C3" i="1"/>
  <c r="A20" i="89" l="1"/>
  <c r="C38" i="129" l="1"/>
  <c r="C8" i="119" l="1"/>
  <c r="E52" i="87" l="1"/>
  <c r="C29" i="137"/>
  <c r="E3" i="137"/>
  <c r="D3" i="137"/>
  <c r="C3" i="137"/>
  <c r="C52" i="133"/>
  <c r="D3" i="87" l="1"/>
  <c r="C118" i="116" l="1"/>
  <c r="C116" i="116"/>
  <c r="C98" i="116"/>
  <c r="C49" i="138"/>
  <c r="C50" i="138"/>
  <c r="C47" i="138"/>
  <c r="C48" i="138"/>
  <c r="C46" i="138"/>
  <c r="C51" i="141"/>
  <c r="C45" i="141"/>
  <c r="C57" i="141" s="1"/>
  <c r="C37" i="141"/>
  <c r="C30" i="141"/>
  <c r="C26" i="141"/>
  <c r="C20" i="141"/>
  <c r="C8" i="141"/>
  <c r="C51" i="140"/>
  <c r="C45" i="140"/>
  <c r="C37" i="140"/>
  <c r="C30" i="140"/>
  <c r="C26" i="140"/>
  <c r="C20" i="140"/>
  <c r="C8" i="140"/>
  <c r="C51" i="139"/>
  <c r="C45" i="139"/>
  <c r="C30" i="139"/>
  <c r="C26" i="139"/>
  <c r="C20" i="139"/>
  <c r="C8" i="139"/>
  <c r="C51" i="138"/>
  <c r="C30" i="138"/>
  <c r="C26" i="138"/>
  <c r="C20" i="138"/>
  <c r="C8" i="138"/>
  <c r="C24" i="73"/>
  <c r="C37" i="116"/>
  <c r="D29" i="137"/>
  <c r="E29" i="137"/>
  <c r="E33" i="137" s="1"/>
  <c r="C30" i="117"/>
  <c r="C26" i="117" s="1"/>
  <c r="E114" i="87"/>
  <c r="B37" i="2"/>
  <c r="B25" i="2"/>
  <c r="B18" i="2"/>
  <c r="B6" i="2"/>
  <c r="B16" i="2" s="1"/>
  <c r="C96" i="118"/>
  <c r="C97" i="118"/>
  <c r="C95" i="118"/>
  <c r="C111" i="117"/>
  <c r="C96" i="117"/>
  <c r="C97" i="117"/>
  <c r="C98" i="117"/>
  <c r="C99" i="117"/>
  <c r="C95" i="117"/>
  <c r="C37" i="117"/>
  <c r="C38" i="117"/>
  <c r="C39" i="117"/>
  <c r="C40" i="117"/>
  <c r="C41" i="117"/>
  <c r="C36" i="117"/>
  <c r="C145" i="116"/>
  <c r="C144" i="116"/>
  <c r="C143" i="116"/>
  <c r="C142" i="116"/>
  <c r="C136" i="116"/>
  <c r="C137" i="116"/>
  <c r="C138" i="116"/>
  <c r="C139" i="116"/>
  <c r="C140" i="116"/>
  <c r="C135" i="116"/>
  <c r="C132" i="116"/>
  <c r="C133" i="116"/>
  <c r="C131" i="116"/>
  <c r="C101" i="116"/>
  <c r="C102" i="116"/>
  <c r="C103" i="116"/>
  <c r="C104" i="116"/>
  <c r="C105" i="116"/>
  <c r="C106" i="116"/>
  <c r="C107" i="116"/>
  <c r="C108" i="116"/>
  <c r="C109" i="116"/>
  <c r="C110" i="116"/>
  <c r="C111" i="116"/>
  <c r="C112" i="116"/>
  <c r="C113" i="116"/>
  <c r="C114" i="116"/>
  <c r="C100" i="116"/>
  <c r="C82" i="116"/>
  <c r="C83" i="116"/>
  <c r="C84" i="116"/>
  <c r="C81" i="116"/>
  <c r="C78" i="116"/>
  <c r="C79" i="116"/>
  <c r="C77" i="116"/>
  <c r="C75" i="116"/>
  <c r="C70" i="116"/>
  <c r="C71" i="116"/>
  <c r="C72" i="116"/>
  <c r="C69" i="116"/>
  <c r="C66" i="116"/>
  <c r="C67" i="116"/>
  <c r="C65" i="116"/>
  <c r="C60" i="116"/>
  <c r="C58" i="116" s="1"/>
  <c r="C61" i="116"/>
  <c r="C62" i="116"/>
  <c r="C59" i="116"/>
  <c r="C55" i="116"/>
  <c r="C53" i="116" s="1"/>
  <c r="C56" i="116"/>
  <c r="C57" i="116"/>
  <c r="C54" i="116"/>
  <c r="C49" i="116"/>
  <c r="C50" i="116"/>
  <c r="C48" i="116"/>
  <c r="C38" i="116"/>
  <c r="C39" i="116"/>
  <c r="C40" i="116"/>
  <c r="C42" i="116"/>
  <c r="C43" i="116"/>
  <c r="C44" i="116"/>
  <c r="C45" i="116"/>
  <c r="C46" i="116"/>
  <c r="C36" i="116"/>
  <c r="C28" i="116"/>
  <c r="C30" i="116"/>
  <c r="C31" i="116"/>
  <c r="C32" i="116"/>
  <c r="C33" i="116"/>
  <c r="C34" i="116"/>
  <c r="C27" i="116"/>
  <c r="C21" i="116"/>
  <c r="C22" i="116"/>
  <c r="C23" i="116"/>
  <c r="C25" i="116"/>
  <c r="C20" i="116"/>
  <c r="C19" i="116" s="1"/>
  <c r="C14" i="116"/>
  <c r="C15" i="116"/>
  <c r="C16" i="116"/>
  <c r="C18" i="116"/>
  <c r="C13" i="116"/>
  <c r="C7" i="116"/>
  <c r="C8" i="116"/>
  <c r="C9" i="116"/>
  <c r="C11" i="116"/>
  <c r="C6" i="116"/>
  <c r="H12" i="73"/>
  <c r="C41" i="116"/>
  <c r="C38" i="119"/>
  <c r="C120" i="116"/>
  <c r="C96" i="116"/>
  <c r="C95" i="116"/>
  <c r="C31" i="3"/>
  <c r="C28" i="1" s="1"/>
  <c r="C33" i="3"/>
  <c r="C34" i="3"/>
  <c r="C31" i="1" s="1"/>
  <c r="C35" i="3"/>
  <c r="C32" i="1" s="1"/>
  <c r="C36" i="3"/>
  <c r="C33" i="1" s="1"/>
  <c r="C97" i="116"/>
  <c r="C45" i="125"/>
  <c r="C85" i="3"/>
  <c r="C86" i="3"/>
  <c r="C87" i="3"/>
  <c r="C84" i="3"/>
  <c r="C81" i="3"/>
  <c r="C82" i="3"/>
  <c r="C80" i="3"/>
  <c r="C79" i="3" s="1"/>
  <c r="C78" i="3"/>
  <c r="C77" i="3"/>
  <c r="C73" i="3"/>
  <c r="C74" i="3"/>
  <c r="C75" i="3"/>
  <c r="C72" i="3"/>
  <c r="C69" i="3"/>
  <c r="C70" i="3"/>
  <c r="C68" i="3"/>
  <c r="C63" i="3"/>
  <c r="C60" i="1" s="1"/>
  <c r="C64" i="3"/>
  <c r="C61" i="1" s="1"/>
  <c r="C65" i="3"/>
  <c r="C62" i="1" s="1"/>
  <c r="C62" i="3"/>
  <c r="C58" i="3"/>
  <c r="C55" i="1" s="1"/>
  <c r="C59" i="3"/>
  <c r="C56" i="1" s="1"/>
  <c r="C60" i="3"/>
  <c r="C57" i="1" s="1"/>
  <c r="C57" i="3"/>
  <c r="C54" i="1" s="1"/>
  <c r="C52" i="3"/>
  <c r="C49" i="1" s="1"/>
  <c r="C53" i="3"/>
  <c r="C50" i="1" s="1"/>
  <c r="C54" i="3"/>
  <c r="C51" i="1" s="1"/>
  <c r="C55" i="3"/>
  <c r="C52" i="1" s="1"/>
  <c r="C51" i="3"/>
  <c r="C48" i="1" s="1"/>
  <c r="C40" i="3"/>
  <c r="C41" i="3"/>
  <c r="C42" i="3"/>
  <c r="C43" i="3"/>
  <c r="C44" i="3"/>
  <c r="C45" i="3"/>
  <c r="C46" i="3"/>
  <c r="C47" i="3"/>
  <c r="C48" i="3"/>
  <c r="C49" i="3"/>
  <c r="C39" i="3"/>
  <c r="C37" i="3"/>
  <c r="C34" i="1" s="1"/>
  <c r="C30" i="3"/>
  <c r="C24" i="3"/>
  <c r="C21" i="1" s="1"/>
  <c r="C25" i="3"/>
  <c r="C22" i="1" s="1"/>
  <c r="C26" i="3"/>
  <c r="C23" i="1" s="1"/>
  <c r="C27" i="3"/>
  <c r="C24" i="1" s="1"/>
  <c r="C28" i="3"/>
  <c r="C25" i="1" s="1"/>
  <c r="C23" i="3"/>
  <c r="C17" i="3"/>
  <c r="C14" i="1" s="1"/>
  <c r="C18" i="3"/>
  <c r="C15" i="1" s="1"/>
  <c r="C19" i="3"/>
  <c r="C16" i="1" s="1"/>
  <c r="C20" i="3"/>
  <c r="C21" i="3"/>
  <c r="C18" i="1" s="1"/>
  <c r="C16" i="3"/>
  <c r="C13" i="1" s="1"/>
  <c r="D33" i="88"/>
  <c r="C160" i="3"/>
  <c r="C159" i="3"/>
  <c r="C154" i="3"/>
  <c r="C155" i="3"/>
  <c r="C150" i="3"/>
  <c r="C151" i="3"/>
  <c r="C152" i="3"/>
  <c r="C153" i="3"/>
  <c r="C149" i="3"/>
  <c r="C144" i="3"/>
  <c r="C143" i="1" s="1"/>
  <c r="C146" i="3"/>
  <c r="C144" i="1" s="1"/>
  <c r="C147" i="3"/>
  <c r="C145" i="1" s="1"/>
  <c r="C143" i="3"/>
  <c r="C137" i="3"/>
  <c r="C138" i="3"/>
  <c r="C139" i="3"/>
  <c r="C140" i="3"/>
  <c r="C141" i="3"/>
  <c r="C136" i="3"/>
  <c r="C133" i="3"/>
  <c r="C134" i="3"/>
  <c r="C132" i="3"/>
  <c r="C131" i="1" s="1"/>
  <c r="C118" i="3"/>
  <c r="C119" i="3"/>
  <c r="O22" i="24" s="1"/>
  <c r="C120" i="3"/>
  <c r="C121" i="3"/>
  <c r="O23" i="24" s="1"/>
  <c r="C122" i="3"/>
  <c r="C123" i="3"/>
  <c r="C124" i="3"/>
  <c r="C125" i="3"/>
  <c r="C126" i="3"/>
  <c r="C127" i="3"/>
  <c r="C128" i="3"/>
  <c r="C129" i="3"/>
  <c r="C128" i="1" s="1"/>
  <c r="C117" i="3"/>
  <c r="C97" i="3"/>
  <c r="C99" i="3"/>
  <c r="O19" i="24" s="1"/>
  <c r="C101" i="3"/>
  <c r="C100" i="1" s="1"/>
  <c r="C102" i="3"/>
  <c r="C101" i="1" s="1"/>
  <c r="C103" i="3"/>
  <c r="C102" i="1" s="1"/>
  <c r="C104" i="3"/>
  <c r="C103" i="1" s="1"/>
  <c r="C105" i="3"/>
  <c r="C104" i="1" s="1"/>
  <c r="C106" i="3"/>
  <c r="C105" i="1" s="1"/>
  <c r="C107" i="3"/>
  <c r="C106" i="1" s="1"/>
  <c r="C108" i="3"/>
  <c r="C107" i="1" s="1"/>
  <c r="C109" i="3"/>
  <c r="C108" i="1" s="1"/>
  <c r="C110" i="3"/>
  <c r="C109" i="1" s="1"/>
  <c r="C111" i="3"/>
  <c r="C110" i="1" s="1"/>
  <c r="C112" i="3"/>
  <c r="C111" i="1" s="1"/>
  <c r="C113" i="3"/>
  <c r="C112" i="1" s="1"/>
  <c r="C114" i="3"/>
  <c r="C113" i="1" s="1"/>
  <c r="C115" i="3"/>
  <c r="C114" i="1" s="1"/>
  <c r="E11" i="73" s="1"/>
  <c r="C95" i="3"/>
  <c r="O16" i="24" s="1"/>
  <c r="C48" i="129"/>
  <c r="C47" i="133"/>
  <c r="C48" i="133"/>
  <c r="C49" i="133"/>
  <c r="C50" i="133"/>
  <c r="C46" i="133"/>
  <c r="C10" i="129"/>
  <c r="C11" i="129"/>
  <c r="C12" i="129"/>
  <c r="C13" i="129"/>
  <c r="C14" i="129"/>
  <c r="C15" i="129"/>
  <c r="C16" i="129"/>
  <c r="C17" i="129"/>
  <c r="C18" i="129"/>
  <c r="C19" i="129"/>
  <c r="C9" i="129"/>
  <c r="C53" i="129"/>
  <c r="C54" i="129"/>
  <c r="C55" i="129"/>
  <c r="C52" i="129"/>
  <c r="C47" i="129"/>
  <c r="C49" i="129"/>
  <c r="C50" i="129"/>
  <c r="C46" i="129"/>
  <c r="C60" i="105"/>
  <c r="C59" i="105"/>
  <c r="C56" i="105"/>
  <c r="C53" i="105"/>
  <c r="C54" i="105"/>
  <c r="C55" i="105"/>
  <c r="C52" i="105"/>
  <c r="C47" i="105"/>
  <c r="C48" i="105"/>
  <c r="C49" i="105"/>
  <c r="C50" i="105"/>
  <c r="C46" i="105"/>
  <c r="C39" i="105"/>
  <c r="C38" i="105"/>
  <c r="C35" i="105"/>
  <c r="C34" i="105"/>
  <c r="C32" i="105"/>
  <c r="C33" i="105"/>
  <c r="C31" i="105"/>
  <c r="C28" i="105"/>
  <c r="C29" i="105"/>
  <c r="C27" i="105"/>
  <c r="C25" i="105"/>
  <c r="C22" i="105"/>
  <c r="C23" i="105"/>
  <c r="C17" i="116" s="1"/>
  <c r="C24" i="105"/>
  <c r="C21" i="105"/>
  <c r="C10" i="105"/>
  <c r="C11" i="105"/>
  <c r="C12" i="105"/>
  <c r="C13" i="105"/>
  <c r="C14" i="105"/>
  <c r="C15" i="105"/>
  <c r="C16" i="105"/>
  <c r="C17" i="105"/>
  <c r="C18" i="105"/>
  <c r="C19" i="105"/>
  <c r="C9" i="105"/>
  <c r="C40" i="79"/>
  <c r="C75" i="1" s="1"/>
  <c r="C39" i="79"/>
  <c r="C36" i="79"/>
  <c r="C35" i="79"/>
  <c r="C33" i="79"/>
  <c r="C34" i="79"/>
  <c r="C32" i="79"/>
  <c r="C30" i="79"/>
  <c r="C28" i="79"/>
  <c r="C29" i="79"/>
  <c r="C27" i="79"/>
  <c r="C25" i="79"/>
  <c r="C22" i="79"/>
  <c r="C23" i="79"/>
  <c r="C24" i="79"/>
  <c r="C21" i="79"/>
  <c r="C10" i="79"/>
  <c r="C11" i="79"/>
  <c r="C12" i="79"/>
  <c r="C13" i="79"/>
  <c r="C14" i="79"/>
  <c r="C15" i="79"/>
  <c r="C16" i="79"/>
  <c r="C17" i="79"/>
  <c r="C18" i="79"/>
  <c r="C19" i="79"/>
  <c r="C9" i="79"/>
  <c r="C60" i="79"/>
  <c r="C54" i="79"/>
  <c r="C55" i="79"/>
  <c r="C56" i="79"/>
  <c r="C53" i="79"/>
  <c r="C48" i="79"/>
  <c r="C49" i="79"/>
  <c r="C50" i="79"/>
  <c r="C51" i="79"/>
  <c r="C47" i="79"/>
  <c r="D33" i="137"/>
  <c r="C33" i="137"/>
  <c r="E9" i="137"/>
  <c r="D9" i="137"/>
  <c r="E20" i="137"/>
  <c r="E22" i="137" s="1"/>
  <c r="E34" i="137" s="1"/>
  <c r="D20" i="137"/>
  <c r="D22" i="137" s="1"/>
  <c r="D34" i="137" s="1"/>
  <c r="C22" i="137"/>
  <c r="E26" i="137"/>
  <c r="D26" i="137"/>
  <c r="C26" i="137"/>
  <c r="C10" i="3"/>
  <c r="C7" i="1" s="1"/>
  <c r="C11" i="3"/>
  <c r="C8" i="1" s="1"/>
  <c r="C12" i="3"/>
  <c r="C9" i="1" s="1"/>
  <c r="C14" i="3"/>
  <c r="C11" i="1" s="1"/>
  <c r="C9" i="3"/>
  <c r="C6" i="1" s="1"/>
  <c r="C38" i="133"/>
  <c r="A1" i="78"/>
  <c r="C51" i="136"/>
  <c r="C45" i="136"/>
  <c r="C37" i="136"/>
  <c r="C30" i="136"/>
  <c r="C26" i="136"/>
  <c r="C20" i="136"/>
  <c r="C8" i="136"/>
  <c r="C51" i="135"/>
  <c r="C45" i="135"/>
  <c r="C37" i="135"/>
  <c r="C30" i="135"/>
  <c r="C26" i="135"/>
  <c r="C20" i="135"/>
  <c r="C8" i="135"/>
  <c r="C51" i="134"/>
  <c r="C45" i="134"/>
  <c r="C30" i="134"/>
  <c r="C26" i="134"/>
  <c r="C20" i="134"/>
  <c r="C8" i="134"/>
  <c r="C51" i="133"/>
  <c r="C30" i="133"/>
  <c r="C26" i="133"/>
  <c r="C20" i="133"/>
  <c r="C8" i="133"/>
  <c r="C51" i="132"/>
  <c r="C45" i="132"/>
  <c r="C37" i="132"/>
  <c r="C30" i="132"/>
  <c r="C26" i="132"/>
  <c r="C20" i="132"/>
  <c r="C8" i="132"/>
  <c r="C51" i="131"/>
  <c r="C45" i="131"/>
  <c r="C37" i="131"/>
  <c r="C30" i="131"/>
  <c r="C26" i="131"/>
  <c r="C20" i="131"/>
  <c r="C8" i="131"/>
  <c r="C51" i="130"/>
  <c r="C45" i="130"/>
  <c r="C30" i="130"/>
  <c r="C26" i="130"/>
  <c r="C20" i="130"/>
  <c r="C8" i="130"/>
  <c r="C30" i="129"/>
  <c r="C26" i="129"/>
  <c r="C20" i="129"/>
  <c r="C29" i="121"/>
  <c r="C29" i="120"/>
  <c r="C29" i="119"/>
  <c r="C26" i="118"/>
  <c r="F3" i="64"/>
  <c r="E3" i="63"/>
  <c r="E3" i="64" s="1"/>
  <c r="C147" i="121"/>
  <c r="C141" i="121"/>
  <c r="C147" i="120"/>
  <c r="C141" i="120"/>
  <c r="C148" i="119"/>
  <c r="C51" i="127"/>
  <c r="C45" i="127"/>
  <c r="C57" i="127" s="1"/>
  <c r="C51" i="126"/>
  <c r="C45" i="126"/>
  <c r="C51" i="125"/>
  <c r="C52" i="124"/>
  <c r="C46" i="124"/>
  <c r="C52" i="123"/>
  <c r="C46" i="123"/>
  <c r="C52" i="122"/>
  <c r="C46" i="122"/>
  <c r="D93" i="87"/>
  <c r="E93" i="87"/>
  <c r="D114" i="87"/>
  <c r="D129" i="87"/>
  <c r="E129" i="87"/>
  <c r="D133" i="87"/>
  <c r="E133" i="87"/>
  <c r="D140" i="87"/>
  <c r="E140" i="87"/>
  <c r="D145" i="87"/>
  <c r="D153" i="87" s="1"/>
  <c r="E145" i="87"/>
  <c r="C145" i="87"/>
  <c r="C140" i="87"/>
  <c r="C133" i="87"/>
  <c r="C129" i="87"/>
  <c r="C114" i="87"/>
  <c r="C93" i="87"/>
  <c r="D62" i="87"/>
  <c r="E62" i="87"/>
  <c r="D63" i="87"/>
  <c r="E63" i="87"/>
  <c r="D67" i="87"/>
  <c r="E67" i="87"/>
  <c r="D72" i="87"/>
  <c r="E72" i="87"/>
  <c r="D75" i="87"/>
  <c r="D86" i="87" s="1"/>
  <c r="E75" i="87"/>
  <c r="D79" i="87"/>
  <c r="E79" i="87"/>
  <c r="C79" i="87"/>
  <c r="C75" i="87"/>
  <c r="C72" i="87"/>
  <c r="C67" i="87"/>
  <c r="C63" i="87"/>
  <c r="C62" i="87"/>
  <c r="C37" i="127"/>
  <c r="C30" i="127"/>
  <c r="C26" i="127"/>
  <c r="C20" i="127"/>
  <c r="C8" i="127"/>
  <c r="C30" i="126"/>
  <c r="C26" i="126"/>
  <c r="C20" i="126"/>
  <c r="C8" i="126"/>
  <c r="C30" i="125"/>
  <c r="C26" i="125"/>
  <c r="C20" i="125"/>
  <c r="C8" i="125"/>
  <c r="C31" i="124"/>
  <c r="C26" i="124"/>
  <c r="C20" i="124"/>
  <c r="C8" i="124"/>
  <c r="C38" i="123"/>
  <c r="C31" i="123"/>
  <c r="C26" i="123"/>
  <c r="C20" i="123"/>
  <c r="C8" i="123"/>
  <c r="C31" i="122"/>
  <c r="C26" i="122"/>
  <c r="C20" i="122"/>
  <c r="C8" i="122"/>
  <c r="C134" i="121"/>
  <c r="C130" i="121"/>
  <c r="C115" i="121"/>
  <c r="C94" i="121"/>
  <c r="C129" i="121" s="1"/>
  <c r="C83" i="121"/>
  <c r="C79" i="121"/>
  <c r="C76" i="121"/>
  <c r="C71" i="121"/>
  <c r="C67" i="121"/>
  <c r="C61" i="121"/>
  <c r="C56" i="121"/>
  <c r="C50" i="121"/>
  <c r="C38" i="121"/>
  <c r="C22" i="121"/>
  <c r="C15" i="121"/>
  <c r="C8" i="121"/>
  <c r="C134" i="120"/>
  <c r="C130" i="120"/>
  <c r="C115" i="120"/>
  <c r="C94" i="120"/>
  <c r="C83" i="120"/>
  <c r="C79" i="120"/>
  <c r="C76" i="120"/>
  <c r="C71" i="120"/>
  <c r="C67" i="120"/>
  <c r="C61" i="120"/>
  <c r="C56" i="120"/>
  <c r="C50" i="120"/>
  <c r="C38" i="120"/>
  <c r="C22" i="120"/>
  <c r="C15" i="120"/>
  <c r="C8" i="120"/>
  <c r="C135" i="119"/>
  <c r="C131" i="119"/>
  <c r="C116" i="119"/>
  <c r="C83" i="119"/>
  <c r="C79" i="119"/>
  <c r="C76" i="119"/>
  <c r="C71" i="119"/>
  <c r="C67" i="119"/>
  <c r="C61" i="119"/>
  <c r="C56" i="119"/>
  <c r="C50" i="119"/>
  <c r="C22" i="119"/>
  <c r="C15" i="119"/>
  <c r="C4" i="73"/>
  <c r="E4" i="61" s="1"/>
  <c r="C146" i="118"/>
  <c r="C141" i="118"/>
  <c r="C134" i="118"/>
  <c r="C130" i="118"/>
  <c r="C115" i="118"/>
  <c r="C80" i="118"/>
  <c r="C76" i="118"/>
  <c r="C73" i="118"/>
  <c r="C68" i="118"/>
  <c r="C64" i="118"/>
  <c r="C58" i="118"/>
  <c r="C53" i="118"/>
  <c r="C47" i="118"/>
  <c r="C35" i="118"/>
  <c r="C19" i="118"/>
  <c r="C12" i="118"/>
  <c r="C5" i="118"/>
  <c r="C3" i="118"/>
  <c r="C92" i="118" s="1"/>
  <c r="C146" i="117"/>
  <c r="C141" i="117"/>
  <c r="C134" i="117"/>
  <c r="C130" i="117"/>
  <c r="C115" i="117"/>
  <c r="C80" i="117"/>
  <c r="C76" i="117"/>
  <c r="C73" i="117"/>
  <c r="C68" i="117"/>
  <c r="C64" i="117"/>
  <c r="C58" i="117"/>
  <c r="C53" i="117"/>
  <c r="C47" i="117"/>
  <c r="C19" i="117"/>
  <c r="C12" i="117"/>
  <c r="C5" i="117"/>
  <c r="C3" i="117"/>
  <c r="C92" i="117" s="1"/>
  <c r="C3" i="116"/>
  <c r="C92" i="116" s="1"/>
  <c r="C146" i="116"/>
  <c r="C26" i="79"/>
  <c r="E29" i="73"/>
  <c r="C146" i="1"/>
  <c r="C134" i="1"/>
  <c r="A1" i="70"/>
  <c r="B3" i="2"/>
  <c r="A1" i="2"/>
  <c r="A1" i="24"/>
  <c r="C3" i="87"/>
  <c r="C91" i="87" s="1"/>
  <c r="D91" i="87"/>
  <c r="F3" i="63"/>
  <c r="D3" i="63"/>
  <c r="D3" i="64" s="1"/>
  <c r="C4" i="62"/>
  <c r="D4" i="62" s="1"/>
  <c r="E4" i="62" s="1"/>
  <c r="A12" i="75"/>
  <c r="A11" i="76" s="1"/>
  <c r="A4" i="76"/>
  <c r="C80" i="1"/>
  <c r="C76" i="1"/>
  <c r="C68" i="1"/>
  <c r="E16" i="89"/>
  <c r="F16" i="89"/>
  <c r="D16" i="89"/>
  <c r="C16" i="89"/>
  <c r="G15" i="89"/>
  <c r="G14" i="89"/>
  <c r="G13" i="89"/>
  <c r="G12" i="89"/>
  <c r="G11" i="89"/>
  <c r="G10" i="89"/>
  <c r="C8" i="78"/>
  <c r="C11" i="77"/>
  <c r="C11" i="62"/>
  <c r="D11" i="62"/>
  <c r="E11" i="62"/>
  <c r="F8" i="62"/>
  <c r="F9" i="62"/>
  <c r="F10" i="62"/>
  <c r="F7" i="62"/>
  <c r="F6" i="62"/>
  <c r="D39" i="70"/>
  <c r="F5" i="64"/>
  <c r="F6" i="64"/>
  <c r="F7" i="64"/>
  <c r="F8" i="64"/>
  <c r="F9" i="64"/>
  <c r="F10" i="64"/>
  <c r="F11" i="64"/>
  <c r="B12" i="64"/>
  <c r="D12" i="64"/>
  <c r="E12" i="64"/>
  <c r="F5" i="63"/>
  <c r="F6" i="63"/>
  <c r="F23" i="63"/>
  <c r="F25" i="63"/>
  <c r="D26" i="63"/>
  <c r="C92" i="1"/>
  <c r="C3" i="77"/>
  <c r="E3" i="87"/>
  <c r="E91" i="87" s="1"/>
  <c r="C59" i="1"/>
  <c r="C96" i="3"/>
  <c r="O17" i="24" s="1"/>
  <c r="C45" i="1"/>
  <c r="C20" i="1"/>
  <c r="C65" i="1"/>
  <c r="F12" i="64"/>
  <c r="C17" i="1" l="1"/>
  <c r="D128" i="87"/>
  <c r="D154" i="87" s="1"/>
  <c r="O21" i="24"/>
  <c r="H21" i="24" s="1"/>
  <c r="C116" i="3"/>
  <c r="O18" i="24"/>
  <c r="J18" i="24" s="1"/>
  <c r="C94" i="3"/>
  <c r="C130" i="3" s="1"/>
  <c r="C80" i="116"/>
  <c r="C57" i="125"/>
  <c r="C12" i="116"/>
  <c r="B28" i="2"/>
  <c r="E128" i="87"/>
  <c r="C26" i="116"/>
  <c r="C30" i="1"/>
  <c r="C29" i="3"/>
  <c r="O8" i="24" s="1"/>
  <c r="C135" i="3"/>
  <c r="C120" i="1"/>
  <c r="E10" i="61" s="1"/>
  <c r="C64" i="116"/>
  <c r="C38" i="1"/>
  <c r="C87" i="117"/>
  <c r="C63" i="118"/>
  <c r="C66" i="119"/>
  <c r="C58" i="123"/>
  <c r="C57" i="132"/>
  <c r="C57" i="135"/>
  <c r="C19" i="61"/>
  <c r="C8" i="79"/>
  <c r="C43" i="1"/>
  <c r="C39" i="1"/>
  <c r="C76" i="3"/>
  <c r="C73" i="116"/>
  <c r="C76" i="116"/>
  <c r="C141" i="116"/>
  <c r="C41" i="1"/>
  <c r="C51" i="105"/>
  <c r="C8" i="129"/>
  <c r="C36" i="129" s="1"/>
  <c r="C37" i="1"/>
  <c r="C36" i="133"/>
  <c r="C57" i="136"/>
  <c r="C34" i="137"/>
  <c r="C20" i="79"/>
  <c r="C26" i="105"/>
  <c r="C99" i="116"/>
  <c r="C94" i="116" s="1"/>
  <c r="C94" i="119"/>
  <c r="C130" i="119" s="1"/>
  <c r="C36" i="139"/>
  <c r="C57" i="139"/>
  <c r="C36" i="132"/>
  <c r="C41" i="132" s="1"/>
  <c r="C155" i="121"/>
  <c r="C57" i="126"/>
  <c r="C44" i="1"/>
  <c r="C87" i="118"/>
  <c r="C88" i="118" s="1"/>
  <c r="C58" i="124"/>
  <c r="C41" i="124" s="1"/>
  <c r="C38" i="124" s="1"/>
  <c r="C42" i="124" s="1"/>
  <c r="C36" i="136"/>
  <c r="C41" i="136" s="1"/>
  <c r="C25" i="61"/>
  <c r="C24" i="61" s="1"/>
  <c r="C27" i="1"/>
  <c r="E86" i="87"/>
  <c r="E35" i="137"/>
  <c r="C35" i="137"/>
  <c r="C153" i="87"/>
  <c r="C128" i="87"/>
  <c r="F11" i="62"/>
  <c r="C115" i="116"/>
  <c r="C64" i="1"/>
  <c r="C47" i="116"/>
  <c r="C131" i="3"/>
  <c r="C68" i="116"/>
  <c r="C130" i="116"/>
  <c r="C134" i="116"/>
  <c r="C67" i="3"/>
  <c r="C129" i="120"/>
  <c r="C46" i="79"/>
  <c r="C94" i="118"/>
  <c r="C129" i="118" s="1"/>
  <c r="C155" i="118" s="1"/>
  <c r="C8" i="105"/>
  <c r="C40" i="1"/>
  <c r="C45" i="105"/>
  <c r="C36" i="126"/>
  <c r="C156" i="121"/>
  <c r="E87" i="87"/>
  <c r="C38" i="3"/>
  <c r="O9" i="24" s="1"/>
  <c r="I9" i="24" s="1"/>
  <c r="C61" i="3"/>
  <c r="O12" i="24" s="1"/>
  <c r="H12" i="24" s="1"/>
  <c r="E10" i="3"/>
  <c r="C15" i="3"/>
  <c r="O6" i="24" s="1"/>
  <c r="C90" i="120"/>
  <c r="C155" i="120"/>
  <c r="C156" i="120" s="1"/>
  <c r="C37" i="122"/>
  <c r="C37" i="123"/>
  <c r="C42" i="123" s="1"/>
  <c r="C86" i="87"/>
  <c r="C87" i="87" s="1"/>
  <c r="C36" i="131"/>
  <c r="C41" i="131" s="1"/>
  <c r="C36" i="134"/>
  <c r="C46" i="1"/>
  <c r="C42" i="1"/>
  <c r="C31" i="79"/>
  <c r="C37" i="79" s="1"/>
  <c r="C100" i="3"/>
  <c r="C53" i="1"/>
  <c r="C11" i="73" s="1"/>
  <c r="C36" i="141"/>
  <c r="C41" i="141" s="1"/>
  <c r="D87" i="87"/>
  <c r="G16" i="89"/>
  <c r="C56" i="3"/>
  <c r="O11" i="24" s="1"/>
  <c r="C11" i="24" s="1"/>
  <c r="C90" i="119"/>
  <c r="C66" i="120"/>
  <c r="C91" i="120" s="1"/>
  <c r="C90" i="121"/>
  <c r="C37" i="124"/>
  <c r="C36" i="125"/>
  <c r="C57" i="131"/>
  <c r="C45" i="133"/>
  <c r="C57" i="133" s="1"/>
  <c r="C83" i="3"/>
  <c r="C36" i="138"/>
  <c r="F26" i="63"/>
  <c r="C36" i="1"/>
  <c r="C50" i="3"/>
  <c r="O10" i="24" s="1"/>
  <c r="E10" i="24" s="1"/>
  <c r="C22" i="3"/>
  <c r="O7" i="24" s="1"/>
  <c r="C154" i="117"/>
  <c r="C160" i="117" s="1"/>
  <c r="C154" i="118"/>
  <c r="C160" i="118" s="1"/>
  <c r="C66" i="121"/>
  <c r="C91" i="121" s="1"/>
  <c r="C36" i="127"/>
  <c r="C41" i="127" s="1"/>
  <c r="E153" i="87"/>
  <c r="C58" i="122"/>
  <c r="C57" i="130"/>
  <c r="C36" i="135"/>
  <c r="C41" i="135" s="1"/>
  <c r="C13" i="3"/>
  <c r="D35" i="137"/>
  <c r="C52" i="79"/>
  <c r="C20" i="105"/>
  <c r="C36" i="105" s="1"/>
  <c r="C30" i="105"/>
  <c r="C51" i="129"/>
  <c r="C12" i="1"/>
  <c r="C7" i="73" s="1"/>
  <c r="C35" i="117"/>
  <c r="C63" i="117" s="1"/>
  <c r="C88" i="117" s="1"/>
  <c r="C57" i="140"/>
  <c r="C130" i="1"/>
  <c r="E21" i="61"/>
  <c r="C148" i="3"/>
  <c r="C71" i="3"/>
  <c r="C36" i="130"/>
  <c r="C35" i="116"/>
  <c r="C45" i="129"/>
  <c r="C57" i="134"/>
  <c r="H23" i="24"/>
  <c r="M23" i="24"/>
  <c r="N23" i="24"/>
  <c r="L23" i="24"/>
  <c r="I23" i="24"/>
  <c r="C23" i="24"/>
  <c r="J23" i="24"/>
  <c r="G23" i="24"/>
  <c r="D23" i="24"/>
  <c r="E23" i="24"/>
  <c r="F23" i="24"/>
  <c r="K23" i="24"/>
  <c r="E154" i="87"/>
  <c r="C19" i="1"/>
  <c r="C6" i="61" s="1"/>
  <c r="C58" i="1"/>
  <c r="C9" i="61" s="1"/>
  <c r="E4" i="73"/>
  <c r="C4" i="61"/>
  <c r="C47" i="1"/>
  <c r="C8" i="61" s="1"/>
  <c r="C94" i="117"/>
  <c r="C129" i="117" s="1"/>
  <c r="C36" i="140"/>
  <c r="C41" i="140" s="1"/>
  <c r="C96" i="1"/>
  <c r="E7" i="73" s="1"/>
  <c r="C98" i="1"/>
  <c r="E9" i="73" s="1"/>
  <c r="C116" i="1"/>
  <c r="C10" i="116"/>
  <c r="C5" i="116" s="1"/>
  <c r="C45" i="138"/>
  <c r="C57" i="138" s="1"/>
  <c r="C95" i="1"/>
  <c r="E6" i="73" s="1"/>
  <c r="C97" i="1"/>
  <c r="C118" i="1"/>
  <c r="E8" i="61" s="1"/>
  <c r="N17" i="24"/>
  <c r="H17" i="24"/>
  <c r="L17" i="24"/>
  <c r="C17" i="24"/>
  <c r="G17" i="24"/>
  <c r="K17" i="24"/>
  <c r="F17" i="24"/>
  <c r="J17" i="24"/>
  <c r="D17" i="24"/>
  <c r="E17" i="24"/>
  <c r="I17" i="24"/>
  <c r="M17" i="24"/>
  <c r="F16" i="24"/>
  <c r="J16" i="24"/>
  <c r="N16" i="24"/>
  <c r="G16" i="24"/>
  <c r="K16" i="24"/>
  <c r="D16" i="24"/>
  <c r="H16" i="24"/>
  <c r="L16" i="24"/>
  <c r="E16" i="24"/>
  <c r="I16" i="24"/>
  <c r="M16" i="24"/>
  <c r="C16" i="24"/>
  <c r="N18" i="24"/>
  <c r="H18" i="24"/>
  <c r="M18" i="24"/>
  <c r="E25" i="61"/>
  <c r="C141" i="1"/>
  <c r="C21" i="73"/>
  <c r="H19" i="24"/>
  <c r="M19" i="24"/>
  <c r="E19" i="24"/>
  <c r="I19" i="24"/>
  <c r="L19" i="24"/>
  <c r="D19" i="24"/>
  <c r="F19" i="24"/>
  <c r="J19" i="24"/>
  <c r="C19" i="24"/>
  <c r="G19" i="24"/>
  <c r="K19" i="24"/>
  <c r="N19" i="24"/>
  <c r="L21" i="24"/>
  <c r="G21" i="24"/>
  <c r="F22" i="24"/>
  <c r="J22" i="24"/>
  <c r="N22" i="24"/>
  <c r="C22" i="24"/>
  <c r="G22" i="24"/>
  <c r="K22" i="24"/>
  <c r="H22" i="24"/>
  <c r="L22" i="24"/>
  <c r="D22" i="24"/>
  <c r="E22" i="24"/>
  <c r="I22" i="24"/>
  <c r="M22" i="24"/>
  <c r="C26" i="1"/>
  <c r="C9" i="73" s="1"/>
  <c r="E8" i="73" l="1"/>
  <c r="C21" i="24"/>
  <c r="D21" i="24"/>
  <c r="J21" i="24"/>
  <c r="I21" i="24"/>
  <c r="E18" i="24"/>
  <c r="K18" i="24"/>
  <c r="F18" i="24"/>
  <c r="K21" i="24"/>
  <c r="N21" i="24"/>
  <c r="F21" i="24"/>
  <c r="M21" i="24"/>
  <c r="E21" i="24"/>
  <c r="C18" i="24"/>
  <c r="I18" i="24"/>
  <c r="L18" i="24"/>
  <c r="D18" i="24"/>
  <c r="G18" i="24"/>
  <c r="C154" i="87"/>
  <c r="C159" i="118"/>
  <c r="C57" i="105"/>
  <c r="C40" i="129"/>
  <c r="C37" i="129" s="1"/>
  <c r="C41" i="129" s="1"/>
  <c r="F9" i="24"/>
  <c r="C9" i="24"/>
  <c r="C35" i="1"/>
  <c r="C10" i="73" s="1"/>
  <c r="C90" i="3"/>
  <c r="O13" i="24" s="1"/>
  <c r="I13" i="24" s="1"/>
  <c r="C129" i="116"/>
  <c r="C73" i="1"/>
  <c r="C87" i="1" s="1"/>
  <c r="B7" i="76" s="1"/>
  <c r="M12" i="24"/>
  <c r="K10" i="24"/>
  <c r="I12" i="24"/>
  <c r="L12" i="24"/>
  <c r="C18" i="61"/>
  <c r="C30" i="61" s="1"/>
  <c r="E30" i="61"/>
  <c r="D14" i="76" s="1"/>
  <c r="C10" i="24"/>
  <c r="F10" i="24"/>
  <c r="F12" i="24"/>
  <c r="G12" i="24"/>
  <c r="N12" i="24"/>
  <c r="C57" i="129"/>
  <c r="C87" i="116"/>
  <c r="H9" i="24"/>
  <c r="C58" i="79"/>
  <c r="C91" i="119"/>
  <c r="E25" i="119" s="1"/>
  <c r="C159" i="117"/>
  <c r="C40" i="126"/>
  <c r="C37" i="126" s="1"/>
  <c r="C41" i="126" s="1"/>
  <c r="M8" i="24"/>
  <c r="G8" i="24"/>
  <c r="H8" i="24"/>
  <c r="I8" i="24"/>
  <c r="D8" i="24"/>
  <c r="J8" i="24"/>
  <c r="K8" i="24"/>
  <c r="C154" i="1"/>
  <c r="B14" i="76" s="1"/>
  <c r="H10" i="24"/>
  <c r="N10" i="24"/>
  <c r="I10" i="24"/>
  <c r="E9" i="24"/>
  <c r="K9" i="24"/>
  <c r="K12" i="24"/>
  <c r="E12" i="24"/>
  <c r="D12" i="24"/>
  <c r="J12" i="24"/>
  <c r="C12" i="24"/>
  <c r="J9" i="24"/>
  <c r="D9" i="24"/>
  <c r="C7" i="24"/>
  <c r="E7" i="24"/>
  <c r="G7" i="24"/>
  <c r="I7" i="24"/>
  <c r="K7" i="24"/>
  <c r="M7" i="24"/>
  <c r="D7" i="24"/>
  <c r="F7" i="24"/>
  <c r="H7" i="24"/>
  <c r="J7" i="24"/>
  <c r="L7" i="24"/>
  <c r="N7" i="24"/>
  <c r="C6" i="24"/>
  <c r="E6" i="24"/>
  <c r="G6" i="24"/>
  <c r="I6" i="24"/>
  <c r="K6" i="24"/>
  <c r="M6" i="24"/>
  <c r="D6" i="24"/>
  <c r="F6" i="24"/>
  <c r="H6" i="24"/>
  <c r="J6" i="24"/>
  <c r="L6" i="24"/>
  <c r="N6" i="24"/>
  <c r="F8" i="24"/>
  <c r="E8" i="24"/>
  <c r="N8" i="24"/>
  <c r="L8" i="24"/>
  <c r="C8" i="24"/>
  <c r="C155" i="117"/>
  <c r="L10" i="24"/>
  <c r="D10" i="24"/>
  <c r="G10" i="24"/>
  <c r="J10" i="24"/>
  <c r="M10" i="24"/>
  <c r="C63" i="116"/>
  <c r="M9" i="24"/>
  <c r="N9" i="24"/>
  <c r="G9" i="24"/>
  <c r="L9" i="24"/>
  <c r="C154" i="116"/>
  <c r="C10" i="1"/>
  <c r="C5" i="1" s="1"/>
  <c r="C8" i="3"/>
  <c r="C99" i="1"/>
  <c r="E10" i="73" s="1"/>
  <c r="E18" i="73" s="1"/>
  <c r="E30" i="73" s="1"/>
  <c r="O20" i="24"/>
  <c r="C40" i="133"/>
  <c r="C37" i="133" s="1"/>
  <c r="C41" i="133" s="1"/>
  <c r="C37" i="134"/>
  <c r="C41" i="134" s="1"/>
  <c r="C38" i="122"/>
  <c r="C42" i="122" s="1"/>
  <c r="C41" i="79"/>
  <c r="C37" i="139"/>
  <c r="C41" i="139" s="1"/>
  <c r="C40" i="138"/>
  <c r="C37" i="138" s="1"/>
  <c r="C41" i="138" s="1"/>
  <c r="E6" i="61"/>
  <c r="E17" i="61" s="1"/>
  <c r="E31" i="61" s="1"/>
  <c r="C115" i="1"/>
  <c r="C37" i="125"/>
  <c r="C41" i="125" s="1"/>
  <c r="C17" i="61"/>
  <c r="L13" i="24"/>
  <c r="C19" i="73"/>
  <c r="C29" i="73" s="1"/>
  <c r="C94" i="1" l="1"/>
  <c r="C63" i="1"/>
  <c r="C88" i="1" s="1"/>
  <c r="B8" i="76" s="1"/>
  <c r="J13" i="24"/>
  <c r="C13" i="24"/>
  <c r="E14" i="76"/>
  <c r="N13" i="24"/>
  <c r="K13" i="24"/>
  <c r="D13" i="24"/>
  <c r="G13" i="24"/>
  <c r="E13" i="24"/>
  <c r="F13" i="24"/>
  <c r="M13" i="24"/>
  <c r="H13" i="24"/>
  <c r="C160" i="1"/>
  <c r="D7" i="76"/>
  <c r="E7" i="76" s="1"/>
  <c r="C160" i="116"/>
  <c r="C88" i="116"/>
  <c r="C37" i="130"/>
  <c r="C41" i="130" s="1"/>
  <c r="C31" i="61"/>
  <c r="C40" i="105"/>
  <c r="C37" i="105" s="1"/>
  <c r="C41" i="105" s="1"/>
  <c r="C155" i="116"/>
  <c r="C159" i="116"/>
  <c r="C6" i="73"/>
  <c r="C18" i="73" s="1"/>
  <c r="C30" i="73" s="1"/>
  <c r="D8" i="76" s="1"/>
  <c r="D15" i="76"/>
  <c r="C33" i="61"/>
  <c r="E33" i="61"/>
  <c r="C129" i="1"/>
  <c r="O5" i="24"/>
  <c r="C66" i="3"/>
  <c r="C91" i="3" s="1"/>
  <c r="J20" i="24"/>
  <c r="E20" i="24"/>
  <c r="H20" i="24"/>
  <c r="L20" i="24"/>
  <c r="D20" i="24"/>
  <c r="N20" i="24"/>
  <c r="C20" i="24"/>
  <c r="K20" i="24"/>
  <c r="F20" i="24"/>
  <c r="I20" i="24"/>
  <c r="G20" i="24"/>
  <c r="M20" i="24"/>
  <c r="E32" i="61"/>
  <c r="C32" i="61"/>
  <c r="C38" i="79"/>
  <c r="C42" i="79" s="1"/>
  <c r="D13" i="76"/>
  <c r="B6" i="76"/>
  <c r="C145" i="119" l="1"/>
  <c r="C142" i="119" s="1"/>
  <c r="C156" i="119" s="1"/>
  <c r="C157" i="119" s="1"/>
  <c r="F157" i="119" s="1"/>
  <c r="E32" i="73"/>
  <c r="D6" i="76"/>
  <c r="E31" i="73"/>
  <c r="C32" i="73"/>
  <c r="C31" i="73"/>
  <c r="E8" i="76"/>
  <c r="B13" i="76"/>
  <c r="E13" i="76" s="1"/>
  <c r="C159" i="1"/>
  <c r="C155" i="1"/>
  <c r="B15" i="76" s="1"/>
  <c r="E15" i="76" s="1"/>
  <c r="D5" i="24"/>
  <c r="D14" i="24" s="1"/>
  <c r="K5" i="24"/>
  <c r="K14" i="24" s="1"/>
  <c r="N5" i="24"/>
  <c r="N14" i="24" s="1"/>
  <c r="J5" i="24"/>
  <c r="J14" i="24" s="1"/>
  <c r="E5" i="24"/>
  <c r="E14" i="24" s="1"/>
  <c r="H5" i="24"/>
  <c r="H14" i="24" s="1"/>
  <c r="C5" i="24"/>
  <c r="C14" i="24" s="1"/>
  <c r="M5" i="24"/>
  <c r="M14" i="24" s="1"/>
  <c r="I5" i="24"/>
  <c r="I14" i="24" s="1"/>
  <c r="L5" i="24"/>
  <c r="L14" i="24" s="1"/>
  <c r="F5" i="24"/>
  <c r="F14" i="24" s="1"/>
  <c r="G5" i="24"/>
  <c r="G14" i="24" s="1"/>
  <c r="E6" i="76"/>
  <c r="C145" i="3" l="1"/>
  <c r="C142" i="3" s="1"/>
  <c r="C156" i="3" s="1"/>
  <c r="O24" i="24" s="1"/>
  <c r="O14" i="24"/>
  <c r="C157" i="3" l="1"/>
  <c r="E109" i="3" s="1"/>
  <c r="G24" i="24"/>
  <c r="G25" i="24" s="1"/>
  <c r="G26" i="24" s="1"/>
  <c r="E24" i="24"/>
  <c r="E25" i="24" s="1"/>
  <c r="E26" i="24" s="1"/>
  <c r="J24" i="24"/>
  <c r="J25" i="24" s="1"/>
  <c r="J26" i="24" s="1"/>
  <c r="H24" i="24"/>
  <c r="H25" i="24" s="1"/>
  <c r="H26" i="24" s="1"/>
  <c r="K24" i="24"/>
  <c r="K25" i="24" s="1"/>
  <c r="K26" i="24" s="1"/>
  <c r="D24" i="24"/>
  <c r="D25" i="24" s="1"/>
  <c r="D26" i="24" s="1"/>
  <c r="L24" i="24"/>
  <c r="L25" i="24" s="1"/>
  <c r="L26" i="24" s="1"/>
  <c r="M24" i="24"/>
  <c r="M25" i="24" s="1"/>
  <c r="M26" i="24" s="1"/>
  <c r="I24" i="24"/>
  <c r="I25" i="24" s="1"/>
  <c r="I26" i="24" s="1"/>
  <c r="F24" i="24"/>
  <c r="F25" i="24" s="1"/>
  <c r="F26" i="24" s="1"/>
  <c r="C24" i="24"/>
  <c r="C25" i="24" s="1"/>
  <c r="N24" i="24"/>
  <c r="N25" i="24" s="1"/>
  <c r="N26" i="24" s="1"/>
  <c r="O25" i="24" l="1"/>
  <c r="O26" i="24" s="1"/>
  <c r="C26" i="24"/>
  <c r="E7" i="71"/>
  <c r="E14" i="71" s="1"/>
  <c r="C14" i="71"/>
  <c r="C107" i="71"/>
  <c r="E100" i="71"/>
  <c r="E107" i="71"/>
</calcChain>
</file>

<file path=xl/sharedStrings.xml><?xml version="1.0" encoding="utf-8"?>
<sst xmlns="http://schemas.openxmlformats.org/spreadsheetml/2006/main" count="5885" uniqueCount="726">
  <si>
    <t>Beruházási (felhalmozási) kiadások előirányzata beruházásonként</t>
  </si>
  <si>
    <t>Felújítási kiadások előirányzata felújításonként</t>
  </si>
  <si>
    <t>Vállalkozási maradvány igénybevétele</t>
  </si>
  <si>
    <t>Adatszolgáltatás 
az elismert tartozásállományról</t>
  </si>
  <si>
    <t>Eszközök hasznosítása utáni kedvezmény, mentesség</t>
  </si>
  <si>
    <t>Helyiségek hasznosítása utáni kedvezmény, mentesség</t>
  </si>
  <si>
    <t>Felhalmozási bevételek</t>
  </si>
  <si>
    <t>Finanszírozási bevételek</t>
  </si>
  <si>
    <t xml:space="preserve"> Egyéb működési célú kiadások</t>
  </si>
  <si>
    <t>Finanszírozási kiadások</t>
  </si>
  <si>
    <t>adatok forintban</t>
  </si>
  <si>
    <t>Támogatás összge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</si>
  <si>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</si>
  <si>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</si>
  <si>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</si>
  <si>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</si>
  <si>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</si>
  <si>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</si>
  <si>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</si>
  <si>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</si>
  <si>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</si>
  <si>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</si>
  <si>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</si>
  <si>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</si>
  <si>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</si>
  <si>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</si>
  <si>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</si>
  <si>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</si>
  <si>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</si>
  <si>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</si>
  <si>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</si>
  <si>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</si>
  <si>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</si>
  <si>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</si>
  <si>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</si>
  <si>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</si>
  <si>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</si>
  <si>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</si>
  <si>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</si>
  <si>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</si>
  <si>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</si>
  <si>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</si>
  <si>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</si>
  <si>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</si>
  <si>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</si>
  <si>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Kiadási jogcímek</t>
  </si>
  <si>
    <t>Személyi  juttatások</t>
  </si>
  <si>
    <t>Tartalékok</t>
  </si>
  <si>
    <t>Összesen</t>
  </si>
  <si>
    <t>Jogcím</t>
  </si>
  <si>
    <t>Összesen:</t>
  </si>
  <si>
    <t>01</t>
  </si>
  <si>
    <t>Ezer forintban !</t>
  </si>
  <si>
    <t>Bevételek</t>
  </si>
  <si>
    <t>Kiadások</t>
  </si>
  <si>
    <t>Egyéb fejlesztési célú kiadások</t>
  </si>
  <si>
    <t>02</t>
  </si>
  <si>
    <t>03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</si>
  <si>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</si>
  <si>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</si>
  <si>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</si>
  <si>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</si>
  <si>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</si>
  <si>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</si>
  <si>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</si>
  <si>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</si>
  <si>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Sor-
szám</t>
  </si>
  <si>
    <t>Kedvezmény nélkül elérhető bevétel</t>
  </si>
  <si>
    <t>Kedvezmények összege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</si>
  <si>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</si>
  <si>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</si>
  <si>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</si>
  <si>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</si>
  <si>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</si>
  <si>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</si>
  <si>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</si>
  <si>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</si>
  <si>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</si>
  <si>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</si>
  <si>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</si>
  <si>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</si>
  <si>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</si>
  <si>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</si>
  <si>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</si>
  <si>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</si>
  <si>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</si>
  <si>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</si>
  <si>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</si>
  <si>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</si>
  <si>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</si>
  <si>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</si>
  <si>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</si>
  <si>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</si>
  <si>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</si>
  <si>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</si>
  <si>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</si>
  <si>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</si>
  <si>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</si>
  <si>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</si>
  <si>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</si>
  <si>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</si>
  <si>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</si>
  <si>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</si>
  <si>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Bevételek összesen:</t>
  </si>
  <si>
    <t>Kiadások összesen:</t>
  </si>
  <si>
    <t>Egyenleg</t>
  </si>
  <si>
    <t>1.5</t>
  </si>
  <si>
    <t>1.8.</t>
  </si>
  <si>
    <t>1.9.</t>
  </si>
  <si>
    <t>1.10.</t>
  </si>
  <si>
    <t>1.11.</t>
  </si>
  <si>
    <t>2.6.</t>
  </si>
  <si>
    <t>1.12.</t>
  </si>
  <si>
    <t>2.7.</t>
  </si>
  <si>
    <t>Lakosság részére lakásépítéshez nyújtott kölcsön elengedése</t>
  </si>
  <si>
    <t>Lakosság részére lakásfelújításhoz nyújtott kölcsön elengedése</t>
  </si>
  <si>
    <t>Gépjárműadóból biztosított kedvezmény, mentesség</t>
  </si>
  <si>
    <t>Egyéb kedvezmény</t>
  </si>
  <si>
    <t>Egyéb kölcsön elengedése</t>
  </si>
  <si>
    <t>Támogatott szervezet neve</t>
  </si>
  <si>
    <t>Támogatás célja</t>
  </si>
  <si>
    <t>30.</t>
  </si>
  <si>
    <t>31.</t>
  </si>
  <si>
    <t>32.</t>
  </si>
  <si>
    <t>33.</t>
  </si>
  <si>
    <t>Források</t>
  </si>
  <si>
    <t>Ezer forintban!</t>
  </si>
  <si>
    <t>Saját erő</t>
  </si>
  <si>
    <t>EU-s forrás</t>
  </si>
  <si>
    <t>Hitel</t>
  </si>
  <si>
    <t>Egyéb forrás</t>
  </si>
  <si>
    <t>Kiadások, költségek</t>
  </si>
  <si>
    <t>Források összesen:</t>
  </si>
  <si>
    <t>EU-s projekt neve, azonosítója: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</si>
  <si>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</si>
  <si>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</si>
  <si>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</si>
  <si>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</si>
  <si>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</si>
  <si>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</si>
  <si>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Társfinanszírozás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</si>
  <si>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</si>
  <si>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</si>
  <si>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</si>
  <si>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</si>
  <si>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</si>
  <si>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</si>
  <si>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</si>
  <si>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</si>
  <si>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</si>
  <si>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</si>
  <si>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</si>
  <si>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</si>
  <si>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Helyi adóból biztosított kedvezmény, mentesség összesen</t>
  </si>
  <si>
    <t xml:space="preserve">-ebből:            Építményadó </t>
  </si>
  <si>
    <t xml:space="preserve">Magánszemélyek kommunális adója </t>
  </si>
  <si>
    <t xml:space="preserve">Iparűzési adó állandó jelleggel végzett iparűzési tevékenység után </t>
  </si>
  <si>
    <t>Ellátottak kártérítésének méltányosságból történő elengedése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</si>
  <si>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</si>
  <si>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</si>
  <si>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</si>
  <si>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</si>
  <si>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</si>
  <si>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</si>
  <si>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</si>
  <si>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</si>
  <si>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</si>
  <si>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</si>
  <si>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</si>
  <si>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</si>
  <si>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</si>
  <si>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</si>
  <si>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</si>
  <si>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</si>
  <si>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</si>
  <si>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</si>
  <si>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</si>
  <si>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</si>
  <si>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</si>
  <si>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</si>
  <si>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</si>
  <si>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</si>
  <si>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</si>
  <si>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</si>
  <si>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</si>
  <si>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</si>
  <si>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>MEGNEVEZÉS</t>
  </si>
  <si>
    <t>ÖSSZES KÖTELEZETTSÉG</t>
  </si>
  <si>
    <t>SAJÁT BEVÉTELEK ÖSSZESEN*</t>
  </si>
  <si>
    <t>Fejlesztési cél leírása</t>
  </si>
  <si>
    <t>ADÓSSÁGOT KELETKEZTETŐ ÜGYLETEK VÁRHATÓ EGYÜTTES ÖSSZEGE</t>
  </si>
  <si>
    <t>Nem kötelező!</t>
  </si>
  <si>
    <t>Feladat megnevezése</t>
  </si>
  <si>
    <t>Költségvetési szerv megnevezése</t>
  </si>
  <si>
    <t>Száma</t>
  </si>
  <si>
    <t>Közfoglalkoztatottak létszáma (fő)</t>
  </si>
  <si>
    <t>Költségvetési szerv neve:</t>
  </si>
  <si>
    <t>Költségvetési szerv számlaszáma:</t>
  </si>
  <si>
    <t xml:space="preserve">Tartozásállomány megnevezése </t>
  </si>
  <si>
    <t>30 nap 
alatti
állomány</t>
  </si>
  <si>
    <t>30-60 nap 
közötti 
állomány</t>
  </si>
  <si>
    <t>60 napon 
túli 
állomány</t>
  </si>
  <si>
    <t>Át-ütemezett</t>
  </si>
  <si>
    <t>Állammal szembeni tartozások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</si>
  <si>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</si>
  <si>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</si>
  <si>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</si>
  <si>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</si>
  <si>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Egyéb tartozásállomány</t>
  </si>
  <si>
    <t>költségvetési szerv vezetője</t>
  </si>
  <si>
    <t>Fejlesztés várható kiadása</t>
  </si>
  <si>
    <t>*Az adósságot keletkeztető ügyletekhez történő hozzájárulás részletes szabályairól szóló 353/2011. (XII.31.) Korm. Rendelet 2.§ (1) bekezdése alapján.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</si>
  <si>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</si>
  <si>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</si>
  <si>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</si>
  <si>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</si>
  <si>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</si>
  <si>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</si>
  <si>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</si>
  <si>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</si>
  <si>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</si>
  <si>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</si>
  <si>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</si>
  <si>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</si>
  <si>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</si>
  <si>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</si>
  <si>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</si>
  <si>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</si>
  <si>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</si>
  <si>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</si>
  <si>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</si>
  <si>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</si>
  <si>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</si>
  <si>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</si>
  <si>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</si>
  <si>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</si>
  <si>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Az önkormányzati vagyon és az önkormányzatot megillető vagyoni értékű jog értékesítéséből és hasznosításából származó bevétel</t>
  </si>
  <si>
    <t>Bírság-, pótlék- és díjbevétel</t>
  </si>
  <si>
    <t>Tárgyi eszköz és az immateriális jószág, részvény, részesedés, vállalat értékesítéséből vagy privatizációból származó bevétel</t>
  </si>
  <si>
    <t>Évek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</si>
  <si>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</si>
  <si>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</si>
  <si>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</si>
  <si>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</si>
  <si>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</si>
  <si>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</si>
  <si>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</si>
  <si>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</si>
  <si>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</si>
  <si>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</si>
  <si>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</si>
  <si>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</si>
  <si>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</si>
  <si>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</si>
  <si>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</si>
  <si>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</si>
  <si>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</si>
  <si>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4.2.</t>
  </si>
  <si>
    <t>4.3.</t>
  </si>
  <si>
    <t>4.4.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</si>
  <si>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</si>
  <si>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</si>
  <si>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</si>
  <si>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</si>
  <si>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</si>
  <si>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</si>
  <si>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</si>
  <si>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</si>
  <si>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</si>
  <si>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</si>
  <si>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</si>
  <si>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</si>
  <si>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</si>
  <si>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</si>
  <si>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</si>
  <si>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</si>
  <si>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</si>
  <si>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</si>
  <si>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</si>
  <si>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</si>
  <si>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</si>
  <si>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</si>
  <si>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</si>
  <si>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</si>
  <si>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</si>
  <si>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</si>
  <si>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</si>
  <si>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</si>
  <si>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</si>
  <si>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</si>
  <si>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</si>
  <si>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</si>
  <si>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</si>
  <si>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</si>
  <si>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</si>
  <si>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</si>
  <si>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</si>
  <si>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</si>
  <si>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</si>
  <si>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</si>
  <si>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</si>
  <si>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</si>
  <si>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</si>
  <si>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</si>
  <si>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</si>
  <si>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</si>
  <si>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</si>
  <si>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</si>
  <si>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</si>
  <si>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</si>
  <si>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</si>
  <si>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</si>
  <si>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</si>
  <si>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</si>
  <si>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</si>
  <si>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</si>
  <si>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</si>
  <si>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</si>
  <si>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</si>
  <si>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</si>
  <si>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</si>
  <si>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</si>
  <si>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</si>
  <si>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</si>
  <si>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</si>
  <si>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</si>
  <si>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</si>
  <si>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</si>
  <si>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</si>
  <si>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</si>
  <si>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</si>
  <si>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</si>
  <si>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</si>
  <si>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</si>
  <si>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</si>
  <si>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</si>
  <si>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</si>
  <si>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</si>
  <si>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</si>
  <si>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</si>
  <si>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</si>
  <si>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</si>
  <si>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</si>
  <si>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</si>
  <si>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</si>
  <si>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</si>
  <si>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</si>
  <si>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</si>
  <si>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</si>
  <si>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</si>
  <si>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</si>
  <si>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</si>
  <si>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</si>
  <si>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</si>
  <si>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</si>
  <si>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</si>
  <si>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</si>
  <si>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</si>
  <si>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</si>
  <si>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</si>
  <si>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</si>
  <si>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</si>
  <si>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</si>
  <si>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</si>
  <si>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</si>
  <si>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Önkormányzatok működési támogatásai</t>
  </si>
  <si>
    <t>Működési célú támogatások államháztartáson belülről</t>
  </si>
  <si>
    <t>Működési célú átvett pénzeszközök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</si>
  <si>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</si>
  <si>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</si>
  <si>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</si>
  <si>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</si>
  <si>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Likviditási célú hitelek törlesztése</t>
  </si>
  <si>
    <t>Költségvetési kiadások összesen (1.+...+12.)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</si>
  <si>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</si>
  <si>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</si>
  <si>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</si>
  <si>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</si>
  <si>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</si>
  <si>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</si>
  <si>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</si>
  <si>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</si>
  <si>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</si>
  <si>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</si>
  <si>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</si>
  <si>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</si>
  <si>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 xml:space="preserve"> 10.</t>
  </si>
  <si>
    <t>2.-ból EU-s támogatás</t>
  </si>
  <si>
    <t>Költségvetési bevételek összesen: (1.+3.+4.+6.+…+11.)</t>
  </si>
  <si>
    <t>Költségvetési kiadások összesen: (1.+3.+5.+...+11.)</t>
  </si>
  <si>
    <t>Összes bevétel, kiadás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</si>
  <si>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</si>
  <si>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</si>
  <si>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</si>
  <si>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</si>
  <si>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</si>
  <si>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</si>
  <si>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</si>
  <si>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</si>
  <si>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</si>
  <si>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</si>
  <si>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</si>
  <si>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</si>
  <si>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</si>
  <si>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</si>
  <si>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</si>
  <si>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</si>
  <si>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</si>
  <si>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</si>
  <si>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Kötelező feladatok bevételei, kiadásai</t>
  </si>
  <si>
    <t>Önként vállalt feladatok bevételei, kiadásai</t>
  </si>
  <si>
    <t>Működési célú támogatások ÁH-on belül</t>
  </si>
  <si>
    <t>Felhalmozási célú támogatások ÁH-on belül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</si>
  <si>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</si>
  <si>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</si>
  <si>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</si>
  <si>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</si>
  <si>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</si>
  <si>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</si>
  <si>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</si>
  <si>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</si>
  <si>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>Kötelező feladatok bevételei, kiadása</t>
  </si>
  <si>
    <t>Önként vállalt feladatok bevételei, kiadása</t>
  </si>
  <si>
    <t>04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</si>
  <si>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</si>
  <si>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</si>
  <si>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</si>
  <si>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</si>
  <si>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</si>
  <si>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</si>
  <si>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</si>
  <si>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</si>
  <si>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</si>
  <si>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</si>
  <si>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</si>
  <si>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</si>
  <si>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</si>
  <si>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</si>
  <si>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</si>
  <si>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</si>
  <si>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</si>
  <si>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</si>
  <si>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</si>
  <si>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</si>
  <si>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</si>
  <si>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</si>
  <si>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</si>
  <si>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</si>
  <si>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</si>
  <si>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</si>
  <si>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</si>
  <si>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</si>
  <si>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</si>
  <si>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</si>
  <si>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</si>
  <si>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</si>
  <si>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</si>
  <si>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</si>
  <si>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</si>
  <si>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</si>
  <si>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</si>
  <si>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</si>
  <si>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</si>
  <si>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</si>
  <si>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</si>
  <si>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</si>
  <si>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</si>
  <si>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</si>
  <si>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</si>
  <si>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</si>
  <si>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</si>
  <si>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</si>
  <si>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>6.-ból EU-s támogatás (közvetlen)</t>
  </si>
  <si>
    <t>Költségvetési bevételek összesen (1.+2.+4.+5.+6.+8.+…+12.)</t>
  </si>
  <si>
    <t>Működési célú finanszírozási bevételek összesen (14.+19.+22.+23.)</t>
  </si>
  <si>
    <t>BEVÉTEL ÖSSZESEN (13.+24.)</t>
  </si>
  <si>
    <t>Működési célú finanszírozási kiadások összesen (14.+...+23.)</t>
  </si>
  <si>
    <t>KIADÁSOK ÖSSZESEN (13.+24.)</t>
  </si>
  <si>
    <t xml:space="preserve">2.1. számú melléklet C. oszlop 13. sor + 2.2. számú melléklet C. oszlop 12. sor </t>
  </si>
  <si>
    <t xml:space="preserve">2.1. számú melléklet C. oszlop 24. sor + 2.2. számú melléklet C. oszlop 25. sor </t>
  </si>
  <si>
    <t xml:space="preserve">2.1. számú melléklet C. oszlop 25. sor + 2.2. számú melléklet C. oszlop 26. sor </t>
  </si>
  <si>
    <t xml:space="preserve">2.1. számú melléklet E. oszlop 13. sor + 2.2. számú melléklet E. oszlop 12. sor </t>
  </si>
  <si>
    <t xml:space="preserve">2.1. számú melléklet E. oszlop 24. sor + 2.2. számú melléklet E. oszlop 25. sor </t>
  </si>
  <si>
    <t xml:space="preserve">2.1. számú melléklet E. oszlop 25. sor + 2.2. számú melléklet E. oszlop 26. sor </t>
  </si>
  <si>
    <t>A</t>
  </si>
  <si>
    <t>B</t>
  </si>
  <si>
    <t>C</t>
  </si>
  <si>
    <t>E</t>
  </si>
  <si>
    <t>D</t>
  </si>
  <si>
    <t>Összesen
(F=C+D+E)</t>
  </si>
  <si>
    <t>Helyi adóból és a települési adóból származó bevétel</t>
  </si>
  <si>
    <t>Osztalék, koncessziós díj és hozambevétel</t>
  </si>
  <si>
    <t>Kezesség-, illetve garanciavállalással kapcsolatos megtérülés</t>
  </si>
  <si>
    <t>Működési célú kvi támogatások és kiegészítő támogatások</t>
  </si>
  <si>
    <t xml:space="preserve">   16.</t>
  </si>
  <si>
    <t xml:space="preserve">   17.</t>
  </si>
  <si>
    <t xml:space="preserve">   18.</t>
  </si>
  <si>
    <t>BEVÉTELEK ÖSSZESEN: (9+17)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</si>
  <si>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</si>
  <si>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</si>
  <si>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</si>
  <si>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</si>
  <si>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Éven belüli lejáatú belföldi értékpapírok beváltása</t>
  </si>
  <si>
    <t>Rövid lejáratú hitelek, kölcsönök törlesztése</t>
  </si>
  <si>
    <t>Hosszú lejáratú hitelek, kölcsönök törlesztése</t>
  </si>
  <si>
    <t>Hitelek, kölcsönök törlesztése külföldi kormányoknak nemz. szervezeteknek</t>
  </si>
  <si>
    <t>Éves tervezett létszám előirányzat (fő)</t>
  </si>
  <si>
    <t>Működési bevételek (1.1.+…+1.11.)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</si>
  <si>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</si>
  <si>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</si>
  <si>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</si>
  <si>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 xml:space="preserve"> 2.3.-ból EU-s támogatásból megvalósuló programok, projektek kiadása</t>
  </si>
  <si>
    <t xml:space="preserve">  2.3.-ból EU támogatás</t>
  </si>
  <si>
    <t xml:space="preserve">  4.2.-ből EU-s támogatás</t>
  </si>
  <si>
    <t>KÖLTSÉGVETÉSI BEVÉTELEK ÖSSZESEN (1.+…+7.)</t>
  </si>
  <si>
    <t>5. tájékoztató tábla</t>
  </si>
  <si>
    <t>Államigazgatási feladatok bevételei, kiadása</t>
  </si>
  <si>
    <t>KIADÁSOK ÖSSZESEN: (1.+2.+3.)</t>
  </si>
  <si>
    <t>Államigazgatási feladatok bevételei, kiadásai</t>
  </si>
  <si>
    <t>Önkormányzat működési támogatásai</t>
  </si>
  <si>
    <t xml:space="preserve">Felhalmozási célú átvett pénzeszközök </t>
  </si>
  <si>
    <t xml:space="preserve">Működési célú átvett pénzeszközök </t>
  </si>
  <si>
    <t xml:space="preserve">Működési bevételek </t>
  </si>
  <si>
    <t xml:space="preserve">FINANSZÍROZÁSI BEVÉTELEK ÖSSZESEN: </t>
  </si>
  <si>
    <t>KÖLTSÉGVETÉSI ÉS FINANSZÍROZÁSI BEVÉTELEK ÖSSZESEN: (9+10)</t>
  </si>
  <si>
    <t xml:space="preserve">   Működési költségvetés kiadásai </t>
  </si>
  <si>
    <t>FINANSZÍROZÁSI KIADÁSOK ÖSSZESEN:</t>
  </si>
  <si>
    <t>KIADÁSOK ÖSSZESEN: (3.+4.)</t>
  </si>
  <si>
    <t>Központi, irányító szervi támogatás</t>
  </si>
  <si>
    <t>Belföldi finanszírozás kiadásai (6.1. + … + 6.5.)</t>
  </si>
  <si>
    <t xml:space="preserve">   Felhalmozási költségvetés kiadásai (2.1.+2.2.+2.3.)</t>
  </si>
  <si>
    <t>Hitel-, kölcsönfelvétel államháztartáson kívülről  (10.1.+…+10.3.)</t>
  </si>
  <si>
    <t>1.1. sz. melléklet Bevételek táblázat C. oszlop 9 sora =</t>
  </si>
  <si>
    <t>1.1. sz. melléklet Bevételek táblázat C. oszlop 17 sora =</t>
  </si>
  <si>
    <t>1.1. sz. melléklet Bevételek táblázat C. oszlop 18 sora =</t>
  </si>
  <si>
    <t>1.1. sz. melléklet Kiadások táblázat C. oszlop 3 sora =</t>
  </si>
  <si>
    <t>1.1. sz. melléklet Kiadások táblázat C. oszlop 10 sora =</t>
  </si>
  <si>
    <t>1.1. sz. melléklet Kiadások táblázat C. oszlop 11 sora =</t>
  </si>
  <si>
    <t>Önkormányzatok szociális és gyermekjóléti, étkeztetési feladatainak támogatása</t>
  </si>
  <si>
    <t>Közhatalmi bevételek (4.1.+…+4.7.)</t>
  </si>
  <si>
    <t>4.5.</t>
  </si>
  <si>
    <t>4.6.</t>
  </si>
  <si>
    <t>4.7.</t>
  </si>
  <si>
    <t>Építményadó</t>
  </si>
  <si>
    <t>Idegenforgalmi adó</t>
  </si>
  <si>
    <t>Iparűzési adó</t>
  </si>
  <si>
    <t>Talajterhelési díj</t>
  </si>
  <si>
    <t>Kamatbevételek és más nyereségjellegű bevételek</t>
  </si>
  <si>
    <t>Közhatalmi bevételek (4.1.+...+4.7.)</t>
  </si>
  <si>
    <t>Kamatbevételek és más nyereség jellegű bevételek</t>
  </si>
  <si>
    <t>F=(B-D-E)</t>
  </si>
  <si>
    <t>Kiemelt előirányzat, előirányzat megnevezése</t>
  </si>
  <si>
    <t>Ibrány Város Önkormányzata adósságot keletkeztető ügyletekből és kezességvállalásokból fennálló kötelezettségei</t>
  </si>
  <si>
    <t>Ibrány Város Önkormányzata saját bevételeinek részletezése az adósságot keletkeztető ügyletből származó tárgyévi fizetési kötelezettség megállapításához</t>
  </si>
  <si>
    <t>Ibrány Város Önkormányzata</t>
  </si>
  <si>
    <t>Ibrányi Polgármesteri Hivatal</t>
  </si>
  <si>
    <t>Ibrányi László Művelődési Központ, Könyvtár és Sportcentrum</t>
  </si>
  <si>
    <t>Ibrány Városi Óvoda</t>
  </si>
  <si>
    <t>Gazdasági Műszaki Ellátó és Szolgáltató Szervezet</t>
  </si>
  <si>
    <t>Finanszírozási bevételek, kiadások egyenlege (finanszírozási bevételek 17. sor - finanszírozási kiadások 10. sor) (+/-)</t>
  </si>
  <si>
    <t>Finanszírozási bevételek, kiadások egyenlege (finanszírozási bevételek 17. sor - finanszírozási kiadások 10. sor)  (+/-)</t>
  </si>
  <si>
    <t>05</t>
  </si>
  <si>
    <t>Forintban !</t>
  </si>
  <si>
    <t>Forintban</t>
  </si>
  <si>
    <t>Ibrányi Polgárőr Egyesület</t>
  </si>
  <si>
    <t>Ibrányi Nyugdíjasok Egyesülete</t>
  </si>
  <si>
    <t>Működésének támogatása</t>
  </si>
  <si>
    <t>Önkéntes Tűzoltó Egyesület</t>
  </si>
  <si>
    <t xml:space="preserve">mezőőrök </t>
  </si>
  <si>
    <t>gyerekház</t>
  </si>
  <si>
    <t>közmunka</t>
  </si>
  <si>
    <t>iskola eü</t>
  </si>
  <si>
    <t>roma</t>
  </si>
  <si>
    <t>tűzoltóság</t>
  </si>
  <si>
    <t>ny</t>
  </si>
  <si>
    <t>polgár</t>
  </si>
  <si>
    <t>rendőrség</t>
  </si>
  <si>
    <t>iskola</t>
  </si>
  <si>
    <t>11744003-15732262</t>
  </si>
  <si>
    <t>30 napon túli elismert tartozásállomány összesen: 0 Ft</t>
  </si>
  <si>
    <t>Önkormányzati hivatal működésének támogatása</t>
  </si>
  <si>
    <t>Település-üzemeltetéshez kapcsolódó támogatás</t>
  </si>
  <si>
    <t>a) Zöldterület-gazdálkodással kapcsolatos feladatok ellátásának támogatása</t>
  </si>
  <si>
    <t>b) Közvilágítás fenntartásának támogatása</t>
  </si>
  <si>
    <t>c) köztemető fenntartásával kapcsolatos feladatok támogatása</t>
  </si>
  <si>
    <t>d) Közutak fenntartásáank támogatása</t>
  </si>
  <si>
    <t>Egyéb önkormányzati feladatok támogatása</t>
  </si>
  <si>
    <t>Lakott külterülettel kapcsolatos feladatok támogatása</t>
  </si>
  <si>
    <t>I. A helyi önkormányzatok működésének támogatása</t>
  </si>
  <si>
    <t>II.2.(8) 1 Óvodaműködtetés 8 hó</t>
  </si>
  <si>
    <t>II.2.(8) 2 Óvodaműködtetés 4 hó</t>
  </si>
  <si>
    <t>II. 1. Óvodapedagógusok, és az óvodapedagógusok nevelő munkáját közvetlenül segítők bértámogatása</t>
  </si>
  <si>
    <t>II. 2. Óvodaműködtetés támogatása</t>
  </si>
  <si>
    <t>II. A települési önkomrányzatok egyes köznevelési feladatainak támogatása</t>
  </si>
  <si>
    <t>III. 2. A települési önkormányzatok szociális feladatainak egyéb támogatása</t>
  </si>
  <si>
    <t>III.3.a Család- és gyermekjóléti szolgálat</t>
  </si>
  <si>
    <t>III.3.a Család- és gyermekjóléti központ</t>
  </si>
  <si>
    <t>III.5.a. A finanszírozás szempontjából elismert dolgozók létszáma</t>
  </si>
  <si>
    <t>III.5.b Gyermekétkeztetés üzemeltetési támogatása</t>
  </si>
  <si>
    <t>III.5.c A rászoruló gyermekiek intézményen kívüli szünidei étkeztetésének támogatása</t>
  </si>
  <si>
    <t>III. A települési önkormányzatok szocilális, gyermekjóléti és gyermekétkezetési feladatinak támogatása</t>
  </si>
  <si>
    <t>IV.1.d Könyvtári, közművelődési és múzeumi feladatok támogatása, Települési önkormányzatok nyilvános könyvtári és a közművelődési feladatainak támogatása</t>
  </si>
  <si>
    <t>Ingatlan vásárlás</t>
  </si>
  <si>
    <t>Tervek készítése</t>
  </si>
  <si>
    <t xml:space="preserve"> Forintban !</t>
  </si>
  <si>
    <t>I.1. jogcímekhez kapcsolódó kiegészítés</t>
  </si>
  <si>
    <t>Ibrány Város és Térsége Gyermekjóléti Szolgálat és Családsegítő Szolgálat</t>
  </si>
  <si>
    <t>06</t>
  </si>
  <si>
    <t>sport</t>
  </si>
  <si>
    <t>hiány</t>
  </si>
  <si>
    <t>Nagyértékű gépek beszerzése közmunka</t>
  </si>
  <si>
    <t>- ebből: Környezetvédelmi programhoz kapcsolódó kiadások összege</t>
  </si>
  <si>
    <t>Felvett, átvállalt hitel, annk tőketartozása és kamata</t>
  </si>
  <si>
    <t>Pénzügyi lízing tőketartozása és kamata</t>
  </si>
  <si>
    <t>az a lakáscélú ingatlan, melyben orvosi rendelő működik (1 db)</t>
  </si>
  <si>
    <t>I. 6. Polgármesteri illetmény támogatása</t>
  </si>
  <si>
    <t>II.1.(1) 1 Pedagógusok bértámogatása</t>
  </si>
  <si>
    <t>II.1.(2) 1 Segítők bértámogatása</t>
  </si>
  <si>
    <t>II.1.(1) 2 Pedagógusok bértámogatása</t>
  </si>
  <si>
    <t>II.1.(2) 2 Segítők bértámogatása</t>
  </si>
  <si>
    <t>II. 4. a (1) Alapfokozatú végzettségű pedagógus II. kategóriába sorolt óvodapedagógusok kieg. tám., akik a minősítést 2016. 12. 31-ig szerezték meg</t>
  </si>
  <si>
    <t>Ibrányi Helytörténeti Egyesület</t>
  </si>
  <si>
    <t>Ibrány Jövőjéért Egyesületű</t>
  </si>
  <si>
    <t>Rétközi Fiatalok Egyesülete</t>
  </si>
  <si>
    <t>Polgármester hatáskörébe utalt támogatások</t>
  </si>
  <si>
    <t>Felhalmozási támogatása</t>
  </si>
  <si>
    <t>Ibrányi 1801 hrsz</t>
  </si>
  <si>
    <t>Eu</t>
  </si>
  <si>
    <t>Kommunális adó</t>
  </si>
  <si>
    <t>4.8.</t>
  </si>
  <si>
    <t>Kommunnális adó</t>
  </si>
  <si>
    <t>TOP 4.3.1. pályázat beruházás</t>
  </si>
  <si>
    <t>TOP 1.2.1. pályázat beruházás</t>
  </si>
  <si>
    <t>TOP 2.1.3. pályázat beruházás</t>
  </si>
  <si>
    <t>TOP 3.1.1. pályázat beruházás</t>
  </si>
  <si>
    <t>TOP 3.2.2. pályázat beruházás</t>
  </si>
  <si>
    <t>Ibrány SE fejlesztési támogatása</t>
  </si>
  <si>
    <t>Ibrány Város Önkormányzata és intézményei</t>
  </si>
  <si>
    <t>Ibrány SE támogatása</t>
  </si>
  <si>
    <t>34.</t>
  </si>
  <si>
    <t>Ibárnyi Úszó Sportegyesület</t>
  </si>
  <si>
    <t>Felelősséggel Kultúránkért Összművésezti Egyesület</t>
  </si>
  <si>
    <t>Tánc</t>
  </si>
  <si>
    <t>helytört</t>
  </si>
  <si>
    <t>Ibrány jövő</t>
  </si>
  <si>
    <t>RFE</t>
  </si>
  <si>
    <t>TOP-1.2.1-15-SB1-2016-00016 A Rétköz turisztikai kínálatának integrált fejlesztése</t>
  </si>
  <si>
    <t>TOP-2.1.3-15-SB1-2016-00039 "Ibrány" belterület védelmét szolgáló vízelvezető hálózat fejlesztése</t>
  </si>
  <si>
    <t>TOP-3.1.1-15-SB1-201600033 Munkába járást segítő kerékpárút építése ibrány Városban</t>
  </si>
  <si>
    <t>TOP-3.2.2-15-SB1-2016-00014 Energetikai fejlesztések Ibrány városában</t>
  </si>
  <si>
    <t>TOP-4.3.1-15-SB1-2016-00003 Leromlott városi területek rehabilitációja Ibrányban</t>
  </si>
  <si>
    <t>TOP-5.1.2-15-SB1-2016-00008 Helyi foglalkoztatási együttműködések Ibrány Város Önkormányzatának vezetésével</t>
  </si>
  <si>
    <t>TOP-5.2.1-15-SB1-2016-00004 A társadalmi együttműködés erősítését szuolgáló helyi szintű komplex programok megvalósítása Ibrányban</t>
  </si>
  <si>
    <t>2019. évi előirányzat BEVÉTELEK</t>
  </si>
  <si>
    <t>2019. évi előirányzat</t>
  </si>
  <si>
    <t>Az önkormányzat által adott közvetett támogatások 2019. évben
(kedvezmények)</t>
  </si>
  <si>
    <t>A 2018. évről áthúzódó bérkompenzáció támogatása</t>
  </si>
  <si>
    <t>II. 4. a (2) Alapfokozatú végzettségű mesterpedagógus kategóriába sorolt óvodapedagógusok kieg. tám., akik a minősítést 2018. 01. 1-jéig átsorolással szerezték meg</t>
  </si>
  <si>
    <t>III.3.n Óvodai és iskolai szociális segítő tevékenység támogatása</t>
  </si>
  <si>
    <t>Kult.pótlék+bérkomp</t>
  </si>
  <si>
    <t>szoc. Ág+bérkomp</t>
  </si>
  <si>
    <t>2019</t>
  </si>
  <si>
    <t>Ebrendészeti telep kialakítása</t>
  </si>
  <si>
    <t>Ibrányi 4421 hrsz</t>
  </si>
  <si>
    <t>Ibrányi 0127/40-46 hrsz</t>
  </si>
  <si>
    <t>Gépjármű vásárlás</t>
  </si>
  <si>
    <t>TOP 5.3.1. pályázat beruházás</t>
  </si>
  <si>
    <t>ILMKS kazán</t>
  </si>
  <si>
    <t>Református iskola bővítése</t>
  </si>
  <si>
    <t>Többéves kihatással járó döntések számszerűsítése évenkénti bontásban és összesítve célok szerint</t>
  </si>
  <si>
    <t>Kötelezettség jogcíme</t>
  </si>
  <si>
    <t>Köt. váll.
 éve</t>
  </si>
  <si>
    <t>Lejárata</t>
  </si>
  <si>
    <t>Kiadás vonzata évenként</t>
  </si>
  <si>
    <t>F</t>
  </si>
  <si>
    <t>G</t>
  </si>
  <si>
    <t>H</t>
  </si>
  <si>
    <t>I</t>
  </si>
  <si>
    <t>J=(E+F+G+H+I)</t>
  </si>
  <si>
    <t>Működési célú finanszírozási kiadások
(hiteltörlesztés, értékpapír vásárlás, stb.)</t>
  </si>
  <si>
    <t>............................</t>
  </si>
  <si>
    <t xml:space="preserve">2. tájékoztató tábla  </t>
  </si>
  <si>
    <t>Felhalmozási célú finanszírozási kiadások
(hiteltörlesztés, értékpapír vásárlás, stb.)</t>
  </si>
  <si>
    <t>MFB hitelszerződés 1-2-14-4400-0425-3 tőke</t>
  </si>
  <si>
    <t>2014</t>
  </si>
  <si>
    <t>2029</t>
  </si>
  <si>
    <t>MFB hitelszerződés 1-2-14-4400-0425-3 kamat</t>
  </si>
  <si>
    <t>MFB hitelszerződés 1-2-14-4400-0423-1 tőke</t>
  </si>
  <si>
    <t>MFB hitelszerződés 1-2-14-4400-0423-1 kamat</t>
  </si>
  <si>
    <t>1314/3. hrsz-ú ingatlan vásárlás tőke</t>
  </si>
  <si>
    <t>2015</t>
  </si>
  <si>
    <t>2030</t>
  </si>
  <si>
    <t>1314/3. hrsz-ú ingatlan vásárlás kamat</t>
  </si>
  <si>
    <t>Lízingszerződés autóvásárláshoz kapcsolódóan - tőke</t>
  </si>
  <si>
    <t>2021</t>
  </si>
  <si>
    <t>Lízingszerződés autóvásárláshoz kapcsolódóan - kamat</t>
  </si>
  <si>
    <t>Hitelszerződés 2085/1 hrsz-ú ingatlan vásárlása</t>
  </si>
  <si>
    <t>2017</t>
  </si>
  <si>
    <t>2032</t>
  </si>
  <si>
    <t>Ingatlanvásárlás I. (hrsz: 2162; 193/1)</t>
  </si>
  <si>
    <t>2018</t>
  </si>
  <si>
    <t>Ingatlanvásárlás II. (hrsz: 2071; 0282/7; 1073)</t>
  </si>
  <si>
    <t>Beruházási kiadások beruházásonként</t>
  </si>
  <si>
    <t>Felújítási kiadások felújításonként</t>
  </si>
  <si>
    <t>Egyéb (Pl.: garancia és kezességvállalás, stb.)</t>
  </si>
  <si>
    <t>Összesen (1+4+12+14)</t>
  </si>
  <si>
    <t>a) 65. életéveét betöltött egyedül élő nőnek, férfinak, a korhatár elérését követő évtől (399 fő)</t>
  </si>
  <si>
    <t>b) 70. életévüket(mindketten) betöltött házaspárnak, a korhatár elérését követő évtől (244 fő)</t>
  </si>
  <si>
    <t>Aki saját háztartásában 3, vagy több kikorú gyermek eltartásáról gondoskodik (176 fő)</t>
  </si>
  <si>
    <t>Polgárőrök 50 %-os kedvezménye (46 fő)</t>
  </si>
  <si>
    <t>Beépítetlen építési telek 50 %-os kevezménye (75 db)</t>
  </si>
  <si>
    <t>Ellátottak térítési díjának méltányosságból történő elengedése (3 fő)</t>
  </si>
  <si>
    <t>Ibrányi 2085/1 hrsz ing. vás. hitel kamata</t>
  </si>
  <si>
    <t>Ingatlanvásárlás I. (hrsz: 2162; 193/1) kamat</t>
  </si>
  <si>
    <t>Ingatlanvásárlás II. (hrsz: 2071; 0282/7; 1073) kamat</t>
  </si>
  <si>
    <t>Síremlék Berencsi Béla</t>
  </si>
  <si>
    <t>Árpád úti óvoda kazán felújítása</t>
  </si>
  <si>
    <t xml:space="preserve">Iskolában kazán felújítása </t>
  </si>
  <si>
    <t>TOP-5.3.1-16-SB1-2017-00005 Víz halad, a kő marad - A társadalmi koházió erősítése Ibrányban</t>
  </si>
  <si>
    <t>2019. Éves eredeti kiadási előirányzat: 1 586 113 ezer Ft</t>
  </si>
  <si>
    <t>Ibrányi 2297 hrsz</t>
  </si>
  <si>
    <t>Ibrányi 2298 hrsz</t>
  </si>
  <si>
    <t>Ibrányi 3005 hrsz</t>
  </si>
  <si>
    <t>Ibrányi 3006 hrsz</t>
  </si>
  <si>
    <t>Ibrányi 3007 hrsz</t>
  </si>
  <si>
    <t>Táncsics utca felújítása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</si>
</sst>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0&quot;.&quot;"/>
  </numFmts>
  <fonts count="51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i/>
      <sz val="8"/>
      <name val="Times New Roman CE"/>
      <charset val="238"/>
    </font>
    <font>
      <b/>
      <sz val="8"/>
      <name val="Times New Roman"/>
      <family val="1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 CE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b/>
      <sz val="10"/>
      <name val="Times New Roman"/>
      <family val="1"/>
      <charset val="238"/>
    </font>
    <font>
      <sz val="10"/>
      <name val="Times New Roman CE"/>
      <charset val="238"/>
    </font>
    <font>
      <i/>
      <sz val="8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14"/>
      <color rgb="FFFF0000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" fillId="0" borderId="0"/>
  </cellStyleXfs>
  <cellXfs count="732">
    <xf numFmtId="0" fontId="0" fillId="0" borderId="0" xfId="0"/>
    <xf numFmtId="0" fontId="15" fillId="0" borderId="0" xfId="4" applyFont="1" applyFill="1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right"/>
    </xf>
    <xf numFmtId="0" fontId="7" fillId="0" borderId="0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vertical="center" wrapText="1"/>
    </xf>
    <xf numFmtId="0" fontId="22" fillId="0" borderId="1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1"/>
    </xf>
    <xf numFmtId="0" fontId="22" fillId="0" borderId="4" xfId="4" applyFont="1" applyFill="1" applyBorder="1" applyAlignment="1" applyProtection="1">
      <alignment horizontal="left" vertical="center" wrapText="1" indent="1"/>
    </xf>
    <xf numFmtId="0" fontId="22" fillId="0" borderId="5" xfId="4" applyFont="1" applyFill="1" applyBorder="1" applyAlignment="1" applyProtection="1">
      <alignment horizontal="left" vertical="center" wrapText="1" indent="1"/>
    </xf>
    <xf numFmtId="0" fontId="22" fillId="0" borderId="6" xfId="4" applyFont="1" applyFill="1" applyBorder="1" applyAlignment="1" applyProtection="1">
      <alignment horizontal="left" vertical="center" wrapText="1" indent="1"/>
    </xf>
    <xf numFmtId="49" fontId="22" fillId="0" borderId="7" xfId="4" applyNumberFormat="1" applyFont="1" applyFill="1" applyBorder="1" applyAlignment="1" applyProtection="1">
      <alignment horizontal="left" vertical="center" wrapText="1" indent="1"/>
    </xf>
    <xf numFmtId="49" fontId="22" fillId="0" borderId="8" xfId="4" applyNumberFormat="1" applyFont="1" applyFill="1" applyBorder="1" applyAlignment="1" applyProtection="1">
      <alignment horizontal="left" vertical="center" wrapText="1" indent="1"/>
    </xf>
    <xf numFmtId="49" fontId="22" fillId="0" borderId="9" xfId="4" applyNumberFormat="1" applyFont="1" applyFill="1" applyBorder="1" applyAlignment="1" applyProtection="1">
      <alignment horizontal="left" vertical="center" wrapText="1" indent="1"/>
    </xf>
    <xf numFmtId="49" fontId="22" fillId="0" borderId="10" xfId="4" applyNumberFormat="1" applyFont="1" applyFill="1" applyBorder="1" applyAlignment="1" applyProtection="1">
      <alignment horizontal="left" vertical="center" wrapText="1" indent="1"/>
    </xf>
    <xf numFmtId="49" fontId="22" fillId="0" borderId="11" xfId="4" applyNumberFormat="1" applyFont="1" applyFill="1" applyBorder="1" applyAlignment="1" applyProtection="1">
      <alignment horizontal="left" vertical="center" wrapText="1" indent="1"/>
    </xf>
    <xf numFmtId="49" fontId="22" fillId="0" borderId="12" xfId="4" applyNumberFormat="1" applyFont="1" applyFill="1" applyBorder="1" applyAlignment="1" applyProtection="1">
      <alignment horizontal="left" vertical="center" wrapText="1" indent="1"/>
    </xf>
    <xf numFmtId="0" fontId="22" fillId="0" borderId="0" xfId="4" applyFont="1" applyFill="1" applyBorder="1" applyAlignment="1" applyProtection="1">
      <alignment horizontal="left" vertical="center" wrapText="1" indent="1"/>
    </xf>
    <xf numFmtId="0" fontId="20" fillId="0" borderId="13" xfId="4" applyFont="1" applyFill="1" applyBorder="1" applyAlignment="1" applyProtection="1">
      <alignment horizontal="left" vertical="center" wrapText="1" indent="1"/>
    </xf>
    <xf numFmtId="0" fontId="20" fillId="0" borderId="14" xfId="4" applyFont="1" applyFill="1" applyBorder="1" applyAlignment="1" applyProtection="1">
      <alignment horizontal="left" vertical="center" wrapText="1" indent="1"/>
    </xf>
    <xf numFmtId="0" fontId="20" fillId="0" borderId="15" xfId="4" applyFont="1" applyFill="1" applyBorder="1" applyAlignment="1" applyProtection="1">
      <alignment horizontal="left" vertical="center" wrapText="1" indent="1"/>
    </xf>
    <xf numFmtId="0" fontId="8" fillId="0" borderId="13" xfId="4" applyFont="1" applyFill="1" applyBorder="1" applyAlignment="1" applyProtection="1">
      <alignment horizontal="center" vertical="center" wrapText="1"/>
    </xf>
    <xf numFmtId="0" fontId="8" fillId="0" borderId="14" xfId="4" applyFont="1" applyFill="1" applyBorder="1" applyAlignment="1" applyProtection="1">
      <alignment horizontal="center" vertical="center" wrapText="1"/>
    </xf>
    <xf numFmtId="164" fontId="22" fillId="0" borderId="2" xfId="0" applyNumberFormat="1" applyFont="1" applyFill="1" applyBorder="1" applyAlignment="1" applyProtection="1">
      <alignment vertical="center" wrapText="1"/>
      <protection locked="0"/>
    </xf>
    <xf numFmtId="164" fontId="22" fillId="0" borderId="6" xfId="0" applyNumberFormat="1" applyFont="1" applyFill="1" applyBorder="1" applyAlignment="1" applyProtection="1">
      <alignment vertical="center" wrapText="1"/>
      <protection locked="0"/>
    </xf>
    <xf numFmtId="0" fontId="20" fillId="0" borderId="14" xfId="4" applyFont="1" applyFill="1" applyBorder="1" applyAlignment="1" applyProtection="1">
      <alignment vertical="center" wrapText="1"/>
    </xf>
    <xf numFmtId="0" fontId="20" fillId="0" borderId="19" xfId="4" applyFont="1" applyFill="1" applyBorder="1" applyAlignment="1" applyProtection="1">
      <alignment vertical="center" wrapText="1"/>
    </xf>
    <xf numFmtId="3" fontId="30" fillId="0" borderId="20" xfId="0" applyNumberFormat="1" applyFont="1" applyBorder="1" applyAlignment="1" applyProtection="1">
      <alignment horizontal="right" vertical="center" indent="1"/>
      <protection locked="0"/>
    </xf>
    <xf numFmtId="0" fontId="30" fillId="0" borderId="2" xfId="0" applyFont="1" applyBorder="1" applyAlignment="1" applyProtection="1">
      <alignment horizontal="left" vertical="center" indent="1"/>
      <protection locked="0"/>
    </xf>
    <xf numFmtId="3" fontId="30" fillId="0" borderId="16" xfId="0" applyNumberFormat="1" applyFont="1" applyBorder="1" applyAlignment="1" applyProtection="1">
      <alignment horizontal="right" vertical="center" indent="1"/>
      <protection locked="0"/>
    </xf>
    <xf numFmtId="0" fontId="30" fillId="0" borderId="6" xfId="0" applyFont="1" applyBorder="1" applyAlignment="1" applyProtection="1">
      <alignment horizontal="left" vertical="center" indent="1"/>
      <protection locked="0"/>
    </xf>
    <xf numFmtId="0" fontId="20" fillId="0" borderId="13" xfId="4" applyFont="1" applyFill="1" applyBorder="1" applyAlignment="1" applyProtection="1">
      <alignment horizontal="center" vertical="center" wrapText="1"/>
    </xf>
    <xf numFmtId="0" fontId="20" fillId="0" borderId="14" xfId="4" applyFont="1" applyFill="1" applyBorder="1" applyAlignment="1" applyProtection="1">
      <alignment horizontal="center" vertical="center" wrapText="1"/>
    </xf>
    <xf numFmtId="0" fontId="20" fillId="0" borderId="21" xfId="4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8" fillId="0" borderId="14" xfId="5" applyFont="1" applyFill="1" applyBorder="1" applyAlignment="1" applyProtection="1">
      <alignment horizontal="left" vertical="center" indent="1"/>
    </xf>
    <xf numFmtId="0" fontId="12" fillId="0" borderId="0" xfId="4" applyFill="1"/>
    <xf numFmtId="0" fontId="8" fillId="0" borderId="21" xfId="4" applyFont="1" applyFill="1" applyBorder="1" applyAlignment="1" applyProtection="1">
      <alignment horizontal="center" vertical="center" wrapText="1"/>
    </xf>
    <xf numFmtId="0" fontId="22" fillId="0" borderId="0" xfId="4" applyFont="1" applyFill="1"/>
    <xf numFmtId="0" fontId="25" fillId="0" borderId="0" xfId="4" applyFont="1" applyFill="1"/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center" vertical="center" wrapText="1"/>
    </xf>
    <xf numFmtId="164" fontId="2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0" fontId="18" fillId="0" borderId="0" xfId="0" applyFont="1" applyFill="1" applyAlignment="1">
      <alignment vertical="center"/>
    </xf>
    <xf numFmtId="164" fontId="28" fillId="0" borderId="2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 wrapText="1"/>
    </xf>
    <xf numFmtId="164" fontId="8" fillId="0" borderId="21" xfId="0" applyNumberFormat="1" applyFont="1" applyFill="1" applyBorder="1" applyAlignment="1" applyProtection="1">
      <alignment horizontal="center" vertical="center" wrapText="1"/>
    </xf>
    <xf numFmtId="164" fontId="20" fillId="0" borderId="22" xfId="0" applyNumberFormat="1" applyFont="1" applyFill="1" applyBorder="1" applyAlignment="1" applyProtection="1">
      <alignment horizontal="center" vertical="center" wrapText="1"/>
    </xf>
    <xf numFmtId="164" fontId="20" fillId="0" borderId="23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2" fillId="0" borderId="16" xfId="0" applyNumberFormat="1" applyFont="1" applyFill="1" applyBorder="1" applyAlignment="1" applyProtection="1">
      <alignment vertical="center" wrapText="1"/>
    </xf>
    <xf numFmtId="164" fontId="22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vertical="center" wrapText="1"/>
    </xf>
    <xf numFmtId="164" fontId="20" fillId="0" borderId="14" xfId="0" applyNumberFormat="1" applyFont="1" applyFill="1" applyBorder="1" applyAlignment="1" applyProtection="1">
      <alignment vertical="center" wrapText="1"/>
    </xf>
    <xf numFmtId="164" fontId="20" fillId="0" borderId="21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9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2" xfId="0" applyNumberFormat="1" applyFont="1" applyFill="1" applyBorder="1" applyAlignment="1" applyProtection="1">
      <alignment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19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6" xfId="0" applyNumberFormat="1" applyFont="1" applyFill="1" applyBorder="1" applyAlignment="1" applyProtection="1">
      <alignment vertical="center" wrapText="1"/>
      <protection locked="0"/>
    </xf>
    <xf numFmtId="164" fontId="19" fillId="0" borderId="18" xfId="0" applyNumberFormat="1" applyFont="1" applyFill="1" applyBorder="1" applyAlignment="1" applyProtection="1">
      <alignment vertical="center" wrapText="1"/>
    </xf>
    <xf numFmtId="164" fontId="8" fillId="0" borderId="21" xfId="0" applyNumberFormat="1" applyFont="1" applyFill="1" applyBorder="1" applyAlignment="1" applyProtection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30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8" xfId="0" applyFont="1" applyFill="1" applyBorder="1" applyAlignment="1">
      <alignment horizontal="center" vertical="center" wrapText="1"/>
    </xf>
    <xf numFmtId="164" fontId="3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2" xfId="0" applyFont="1" applyFill="1" applyBorder="1" applyAlignment="1" applyProtection="1">
      <alignment vertical="center" wrapText="1"/>
      <protection locked="0"/>
    </xf>
    <xf numFmtId="0" fontId="30" fillId="0" borderId="29" xfId="0" applyFont="1" applyFill="1" applyBorder="1" applyAlignment="1" applyProtection="1">
      <alignment vertical="center" wrapText="1"/>
      <protection locked="0"/>
    </xf>
    <xf numFmtId="164" fontId="30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3" fontId="30" fillId="0" borderId="16" xfId="0" applyNumberFormat="1" applyFont="1" applyFill="1" applyBorder="1" applyAlignment="1" applyProtection="1">
      <alignment horizontal="right" vertical="center" indent="1"/>
      <protection locked="0"/>
    </xf>
    <xf numFmtId="3" fontId="30" fillId="0" borderId="18" xfId="0" applyNumberFormat="1" applyFont="1" applyFill="1" applyBorder="1" applyAlignment="1" applyProtection="1">
      <alignment horizontal="right" vertical="center" indent="1"/>
      <protection locked="0"/>
    </xf>
    <xf numFmtId="0" fontId="24" fillId="0" borderId="0" xfId="0" applyFont="1" applyFill="1"/>
    <xf numFmtId="3" fontId="30" fillId="0" borderId="4" xfId="0" applyNumberFormat="1" applyFont="1" applyFill="1" applyBorder="1" applyAlignment="1" applyProtection="1">
      <alignment vertical="center"/>
      <protection locked="0"/>
    </xf>
    <xf numFmtId="3" fontId="34" fillId="0" borderId="2" xfId="0" applyNumberFormat="1" applyFont="1" applyFill="1" applyBorder="1" applyAlignment="1" applyProtection="1">
      <alignment vertical="center"/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49" fontId="30" fillId="0" borderId="10" xfId="0" applyNumberFormat="1" applyFont="1" applyFill="1" applyBorder="1" applyAlignment="1" applyProtection="1">
      <alignment vertical="center"/>
      <protection locked="0"/>
    </xf>
    <xf numFmtId="3" fontId="30" fillId="0" borderId="6" xfId="0" applyNumberFormat="1" applyFont="1" applyFill="1" applyBorder="1" applyAlignment="1" applyProtection="1">
      <alignment vertical="center"/>
      <protection locked="0"/>
    </xf>
    <xf numFmtId="49" fontId="30" fillId="0" borderId="8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31" fillId="0" borderId="15" xfId="5" applyFont="1" applyFill="1" applyBorder="1" applyAlignment="1" applyProtection="1">
      <alignment horizontal="center" vertical="center" wrapText="1"/>
    </xf>
    <xf numFmtId="0" fontId="31" fillId="0" borderId="19" xfId="5" applyFont="1" applyFill="1" applyBorder="1" applyAlignment="1" applyProtection="1">
      <alignment horizontal="center" vertical="center"/>
    </xf>
    <xf numFmtId="0" fontId="31" fillId="0" borderId="31" xfId="5" applyFont="1" applyFill="1" applyBorder="1" applyAlignment="1" applyProtection="1">
      <alignment horizontal="center" vertical="center"/>
    </xf>
    <xf numFmtId="0" fontId="12" fillId="0" borderId="0" xfId="5" applyFill="1" applyProtection="1"/>
    <xf numFmtId="0" fontId="22" fillId="0" borderId="13" xfId="5" applyFont="1" applyFill="1" applyBorder="1" applyAlignment="1" applyProtection="1">
      <alignment horizontal="left" vertical="center" indent="1"/>
    </xf>
    <xf numFmtId="0" fontId="12" fillId="0" borderId="0" xfId="5" applyFill="1" applyAlignment="1" applyProtection="1">
      <alignment vertical="center"/>
    </xf>
    <xf numFmtId="164" fontId="22" fillId="0" borderId="1" xfId="5" applyNumberFormat="1" applyFont="1" applyFill="1" applyBorder="1" applyAlignment="1" applyProtection="1">
      <alignment vertical="center"/>
      <protection locked="0"/>
    </xf>
    <xf numFmtId="0" fontId="22" fillId="0" borderId="8" xfId="5" applyFont="1" applyFill="1" applyBorder="1" applyAlignment="1" applyProtection="1">
      <alignment horizontal="left" vertical="center" indent="1"/>
    </xf>
    <xf numFmtId="164" fontId="22" fillId="0" borderId="2" xfId="5" applyNumberFormat="1" applyFont="1" applyFill="1" applyBorder="1" applyAlignment="1" applyProtection="1">
      <alignment vertical="center"/>
      <protection locked="0"/>
    </xf>
    <xf numFmtId="164" fontId="22" fillId="0" borderId="16" xfId="5" applyNumberFormat="1" applyFont="1" applyFill="1" applyBorder="1" applyAlignment="1" applyProtection="1">
      <alignment vertical="center"/>
    </xf>
    <xf numFmtId="0" fontId="12" fillId="0" borderId="0" xfId="5" applyFill="1" applyAlignment="1" applyProtection="1">
      <alignment vertical="center"/>
      <protection locked="0"/>
    </xf>
    <xf numFmtId="164" fontId="22" fillId="0" borderId="3" xfId="5" applyNumberFormat="1" applyFont="1" applyFill="1" applyBorder="1" applyAlignment="1" applyProtection="1">
      <alignment vertical="center"/>
      <protection locked="0"/>
    </xf>
    <xf numFmtId="164" fontId="22" fillId="0" borderId="28" xfId="5" applyNumberFormat="1" applyFont="1" applyFill="1" applyBorder="1" applyAlignment="1" applyProtection="1">
      <alignment vertical="center"/>
    </xf>
    <xf numFmtId="164" fontId="20" fillId="0" borderId="14" xfId="5" applyNumberFormat="1" applyFont="1" applyFill="1" applyBorder="1" applyAlignment="1" applyProtection="1">
      <alignment vertical="center"/>
    </xf>
    <xf numFmtId="164" fontId="20" fillId="0" borderId="21" xfId="5" applyNumberFormat="1" applyFont="1" applyFill="1" applyBorder="1" applyAlignment="1" applyProtection="1">
      <alignment vertical="center"/>
    </xf>
    <xf numFmtId="0" fontId="22" fillId="0" borderId="9" xfId="5" applyFont="1" applyFill="1" applyBorder="1" applyAlignment="1" applyProtection="1">
      <alignment horizontal="left" vertical="center" indent="1"/>
    </xf>
    <xf numFmtId="0" fontId="20" fillId="0" borderId="13" xfId="5" applyFont="1" applyFill="1" applyBorder="1" applyAlignment="1" applyProtection="1">
      <alignment horizontal="left" vertical="center" indent="1"/>
    </xf>
    <xf numFmtId="164" fontId="20" fillId="0" borderId="14" xfId="5" applyNumberFormat="1" applyFont="1" applyFill="1" applyBorder="1" applyProtection="1"/>
    <xf numFmtId="164" fontId="20" fillId="0" borderId="21" xfId="5" applyNumberFormat="1" applyFont="1" applyFill="1" applyBorder="1" applyProtection="1"/>
    <xf numFmtId="0" fontId="12" fillId="0" borderId="0" xfId="5" applyFill="1" applyProtection="1">
      <protection locked="0"/>
    </xf>
    <xf numFmtId="0" fontId="15" fillId="0" borderId="0" xfId="5" applyFont="1" applyFill="1" applyProtection="1"/>
    <xf numFmtId="0" fontId="36" fillId="0" borderId="0" xfId="5" applyFont="1" applyFill="1" applyProtection="1">
      <protection locked="0"/>
    </xf>
    <xf numFmtId="0" fontId="24" fillId="0" borderId="0" xfId="5" applyFont="1" applyFill="1" applyProtection="1">
      <protection locked="0"/>
    </xf>
    <xf numFmtId="0" fontId="27" fillId="0" borderId="32" xfId="0" applyFont="1" applyFill="1" applyBorder="1" applyAlignment="1" applyProtection="1">
      <alignment horizontal="left" vertical="center" wrapText="1"/>
      <protection locked="0"/>
    </xf>
    <xf numFmtId="0" fontId="27" fillId="0" borderId="33" xfId="0" applyFont="1" applyFill="1" applyBorder="1" applyAlignment="1" applyProtection="1">
      <alignment horizontal="left" vertical="center" wrapText="1"/>
      <protection locked="0"/>
    </xf>
    <xf numFmtId="0" fontId="27" fillId="0" borderId="34" xfId="0" applyFont="1" applyFill="1" applyBorder="1" applyAlignment="1" applyProtection="1">
      <alignment horizontal="left" vertical="center" wrapText="1"/>
      <protection locked="0"/>
    </xf>
    <xf numFmtId="164" fontId="20" fillId="2" borderId="14" xfId="0" applyNumberFormat="1" applyFont="1" applyFill="1" applyBorder="1" applyAlignment="1" applyProtection="1">
      <alignment vertical="center" wrapText="1"/>
    </xf>
    <xf numFmtId="164" fontId="8" fillId="2" borderId="14" xfId="0" applyNumberFormat="1" applyFont="1" applyFill="1" applyBorder="1" applyAlignment="1" applyProtection="1">
      <alignment vertical="center" wrapText="1"/>
    </xf>
    <xf numFmtId="3" fontId="4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3" xfId="0" applyFont="1" applyFill="1" applyBorder="1" applyAlignment="1" applyProtection="1">
      <alignment vertical="center" wrapText="1"/>
      <protection locked="0"/>
    </xf>
    <xf numFmtId="0" fontId="29" fillId="0" borderId="14" xfId="4" applyFont="1" applyFill="1" applyBorder="1" applyAlignment="1" applyProtection="1">
      <alignment horizontal="left" vertical="center" wrapText="1" indent="1"/>
    </xf>
    <xf numFmtId="0" fontId="24" fillId="0" borderId="0" xfId="4" applyFont="1" applyFill="1"/>
    <xf numFmtId="164" fontId="29" fillId="0" borderId="13" xfId="0" applyNumberFormat="1" applyFont="1" applyFill="1" applyBorder="1" applyAlignment="1" applyProtection="1">
      <alignment horizontal="left" vertical="center" wrapText="1" indent="1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 indent="1"/>
    </xf>
    <xf numFmtId="0" fontId="25" fillId="0" borderId="0" xfId="0" applyFont="1" applyAlignment="1">
      <alignment horizontal="center"/>
    </xf>
    <xf numFmtId="0" fontId="29" fillId="0" borderId="14" xfId="4" applyFont="1" applyFill="1" applyBorder="1" applyAlignment="1" applyProtection="1">
      <alignment horizontal="left" vertical="center" wrapText="1"/>
    </xf>
    <xf numFmtId="164" fontId="30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1" xfId="0" applyFont="1" applyFill="1" applyBorder="1" applyAlignment="1">
      <alignment horizontal="center" vertical="center" wrapText="1"/>
    </xf>
    <xf numFmtId="0" fontId="39" fillId="0" borderId="0" xfId="0" applyFont="1" applyFill="1"/>
    <xf numFmtId="3" fontId="39" fillId="0" borderId="0" xfId="0" applyNumberFormat="1" applyFont="1" applyFill="1" applyAlignment="1">
      <alignment horizontal="right" indent="1"/>
    </xf>
    <xf numFmtId="3" fontId="31" fillId="0" borderId="0" xfId="0" applyNumberFormat="1" applyFont="1" applyFill="1" applyAlignment="1">
      <alignment horizontal="right" indent="1"/>
    </xf>
    <xf numFmtId="0" fontId="39" fillId="0" borderId="0" xfId="0" applyFont="1" applyFill="1" applyAlignment="1">
      <alignment horizontal="right" indent="1"/>
    </xf>
    <xf numFmtId="0" fontId="6" fillId="0" borderId="36" xfId="0" applyFont="1" applyFill="1" applyBorder="1" applyAlignment="1" applyProtection="1">
      <alignment horizontal="right"/>
    </xf>
    <xf numFmtId="164" fontId="37" fillId="0" borderId="36" xfId="4" applyNumberFormat="1" applyFont="1" applyFill="1" applyBorder="1" applyAlignment="1" applyProtection="1">
      <alignment horizontal="left" vertical="center"/>
    </xf>
    <xf numFmtId="0" fontId="30" fillId="0" borderId="23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indent="6"/>
    </xf>
    <xf numFmtId="0" fontId="22" fillId="0" borderId="2" xfId="4" applyFont="1" applyFill="1" applyBorder="1" applyAlignment="1" applyProtection="1">
      <alignment horizontal="left" vertical="center" wrapText="1" indent="6"/>
    </xf>
    <xf numFmtId="0" fontId="22" fillId="0" borderId="6" xfId="4" applyFont="1" applyFill="1" applyBorder="1" applyAlignment="1" applyProtection="1">
      <alignment horizontal="left" vertical="center" wrapText="1" indent="6"/>
    </xf>
    <xf numFmtId="0" fontId="22" fillId="0" borderId="29" xfId="4" applyFont="1" applyFill="1" applyBorder="1" applyAlignment="1" applyProtection="1">
      <alignment horizontal="left" vertical="center" wrapText="1" indent="6"/>
    </xf>
    <xf numFmtId="0" fontId="44" fillId="0" borderId="0" xfId="0" applyFont="1" applyFill="1"/>
    <xf numFmtId="0" fontId="45" fillId="0" borderId="0" xfId="0" applyFont="1"/>
    <xf numFmtId="0" fontId="15" fillId="0" borderId="0" xfId="4" applyFont="1" applyFill="1" applyBorder="1"/>
    <xf numFmtId="0" fontId="2" fillId="0" borderId="0" xfId="4" applyFont="1" applyFill="1"/>
    <xf numFmtId="164" fontId="5" fillId="0" borderId="0" xfId="4" applyNumberFormat="1" applyFont="1" applyFill="1" applyBorder="1" applyAlignment="1" applyProtection="1">
      <alignment horizontal="centerContinuous" vertical="center"/>
    </xf>
    <xf numFmtId="0" fontId="15" fillId="0" borderId="8" xfId="4" applyFont="1" applyFill="1" applyBorder="1" applyAlignment="1">
      <alignment horizontal="center" vertical="center"/>
    </xf>
    <xf numFmtId="0" fontId="15" fillId="0" borderId="9" xfId="4" applyFont="1" applyFill="1" applyBorder="1" applyAlignment="1">
      <alignment horizontal="center" vertical="center"/>
    </xf>
    <xf numFmtId="0" fontId="15" fillId="0" borderId="13" xfId="4" applyFont="1" applyFill="1" applyBorder="1" applyAlignment="1">
      <alignment horizontal="center" vertical="center"/>
    </xf>
    <xf numFmtId="0" fontId="15" fillId="0" borderId="14" xfId="4" applyFont="1" applyFill="1" applyBorder="1" applyAlignment="1">
      <alignment horizontal="center" vertical="center"/>
    </xf>
    <xf numFmtId="0" fontId="15" fillId="0" borderId="21" xfId="4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/>
    <xf numFmtId="0" fontId="15" fillId="0" borderId="10" xfId="4" applyFont="1" applyFill="1" applyBorder="1" applyAlignment="1">
      <alignment horizontal="center" vertical="center"/>
    </xf>
    <xf numFmtId="0" fontId="32" fillId="0" borderId="14" xfId="4" applyFont="1" applyFill="1" applyBorder="1"/>
    <xf numFmtId="165" fontId="15" fillId="0" borderId="16" xfId="1" applyNumberFormat="1" applyFont="1" applyFill="1" applyBorder="1"/>
    <xf numFmtId="0" fontId="23" fillId="0" borderId="0" xfId="0" applyFont="1" applyFill="1" applyBorder="1" applyAlignment="1" applyProtection="1">
      <alignment horizontal="right"/>
    </xf>
    <xf numFmtId="0" fontId="8" fillId="0" borderId="37" xfId="4" applyFont="1" applyFill="1" applyBorder="1" applyAlignment="1" applyProtection="1">
      <alignment horizontal="center" vertical="center" wrapText="1"/>
    </xf>
    <xf numFmtId="0" fontId="42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3" fillId="0" borderId="0" xfId="0" applyFont="1" applyFill="1"/>
    <xf numFmtId="164" fontId="30" fillId="0" borderId="3" xfId="0" applyNumberFormat="1" applyFont="1" applyFill="1" applyBorder="1" applyAlignment="1" applyProtection="1">
      <alignment vertical="center"/>
      <protection locked="0"/>
    </xf>
    <xf numFmtId="164" fontId="30" fillId="0" borderId="2" xfId="0" applyNumberFormat="1" applyFont="1" applyFill="1" applyBorder="1" applyAlignment="1" applyProtection="1">
      <alignment vertical="center"/>
      <protection locked="0"/>
    </xf>
    <xf numFmtId="164" fontId="30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15" fillId="0" borderId="2" xfId="4" applyFont="1" applyFill="1" applyBorder="1" applyProtection="1">
      <protection locked="0"/>
    </xf>
    <xf numFmtId="165" fontId="15" fillId="0" borderId="2" xfId="1" applyNumberFormat="1" applyFont="1" applyFill="1" applyBorder="1" applyProtection="1">
      <protection locked="0"/>
    </xf>
    <xf numFmtId="0" fontId="15" fillId="0" borderId="6" xfId="4" applyFont="1" applyFill="1" applyBorder="1" applyProtection="1">
      <protection locked="0"/>
    </xf>
    <xf numFmtId="165" fontId="15" fillId="0" borderId="6" xfId="1" applyNumberFormat="1" applyFont="1" applyFill="1" applyBorder="1" applyProtection="1">
      <protection locked="0"/>
    </xf>
    <xf numFmtId="0" fontId="29" fillId="0" borderId="11" xfId="4" applyFont="1" applyFill="1" applyBorder="1" applyAlignment="1" applyProtection="1">
      <alignment horizontal="center" vertical="center" wrapText="1"/>
    </xf>
    <xf numFmtId="0" fontId="29" fillId="0" borderId="4" xfId="4" applyFont="1" applyFill="1" applyBorder="1" applyAlignment="1" applyProtection="1">
      <alignment horizontal="center" vertical="center" wrapText="1"/>
    </xf>
    <xf numFmtId="0" fontId="29" fillId="0" borderId="20" xfId="4" applyFont="1" applyFill="1" applyBorder="1" applyAlignment="1" applyProtection="1">
      <alignment horizontal="center" vertical="center" wrapText="1"/>
    </xf>
    <xf numFmtId="0" fontId="30" fillId="0" borderId="13" xfId="4" applyFont="1" applyFill="1" applyBorder="1" applyAlignment="1" applyProtection="1">
      <alignment horizontal="center" vertical="center"/>
    </xf>
    <xf numFmtId="0" fontId="30" fillId="0" borderId="11" xfId="4" applyFont="1" applyFill="1" applyBorder="1" applyAlignment="1" applyProtection="1">
      <alignment horizontal="center" vertical="center"/>
    </xf>
    <xf numFmtId="0" fontId="30" fillId="0" borderId="8" xfId="4" applyFont="1" applyFill="1" applyBorder="1" applyAlignment="1" applyProtection="1">
      <alignment horizontal="center" vertical="center"/>
    </xf>
    <xf numFmtId="0" fontId="30" fillId="0" borderId="10" xfId="4" applyFont="1" applyFill="1" applyBorder="1" applyAlignment="1" applyProtection="1">
      <alignment horizontal="center" vertical="center"/>
    </xf>
    <xf numFmtId="165" fontId="29" fillId="0" borderId="21" xfId="1" applyNumberFormat="1" applyFont="1" applyFill="1" applyBorder="1" applyProtection="1"/>
    <xf numFmtId="165" fontId="30" fillId="0" borderId="20" xfId="1" applyNumberFormat="1" applyFont="1" applyFill="1" applyBorder="1" applyProtection="1">
      <protection locked="0"/>
    </xf>
    <xf numFmtId="165" fontId="30" fillId="0" borderId="16" xfId="1" applyNumberFormat="1" applyFont="1" applyFill="1" applyBorder="1" applyProtection="1">
      <protection locked="0"/>
    </xf>
    <xf numFmtId="165" fontId="30" fillId="0" borderId="18" xfId="1" applyNumberFormat="1" applyFont="1" applyFill="1" applyBorder="1" applyProtection="1">
      <protection locked="0"/>
    </xf>
    <xf numFmtId="0" fontId="35" fillId="0" borderId="13" xfId="0" applyFont="1" applyFill="1" applyBorder="1" applyAlignment="1" applyProtection="1">
      <alignment horizontal="center" vertical="center" wrapText="1"/>
    </xf>
    <xf numFmtId="0" fontId="35" fillId="0" borderId="21" xfId="0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left" vertical="center" wrapText="1"/>
    </xf>
    <xf numFmtId="164" fontId="8" fillId="0" borderId="14" xfId="0" applyNumberFormat="1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 applyProtection="1">
      <alignment horizontal="center" vertical="center" wrapText="1"/>
    </xf>
    <xf numFmtId="0" fontId="27" fillId="0" borderId="5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8"/>
    </xf>
    <xf numFmtId="0" fontId="30" fillId="0" borderId="3" xfId="0" applyFont="1" applyFill="1" applyBorder="1" applyAlignment="1" applyProtection="1">
      <alignment vertical="center" wrapText="1"/>
    </xf>
    <xf numFmtId="0" fontId="30" fillId="0" borderId="2" xfId="0" applyFont="1" applyFill="1" applyBorder="1" applyAlignment="1" applyProtection="1">
      <alignment vertical="center" wrapText="1"/>
    </xf>
    <xf numFmtId="0" fontId="29" fillId="0" borderId="13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vertical="center" wrapText="1"/>
    </xf>
    <xf numFmtId="164" fontId="29" fillId="0" borderId="23" xfId="0" applyNumberFormat="1" applyFont="1" applyFill="1" applyBorder="1" applyAlignment="1" applyProtection="1">
      <alignment vertical="center" wrapText="1"/>
    </xf>
    <xf numFmtId="164" fontId="29" fillId="0" borderId="38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30" fillId="0" borderId="11" xfId="0" applyFont="1" applyBorder="1" applyAlignment="1" applyProtection="1">
      <alignment horizontal="right" vertical="center" indent="1"/>
    </xf>
    <xf numFmtId="0" fontId="30" fillId="0" borderId="8" xfId="0" applyFont="1" applyBorder="1" applyAlignment="1" applyProtection="1">
      <alignment horizontal="right" vertical="center" indent="1"/>
    </xf>
    <xf numFmtId="0" fontId="30" fillId="0" borderId="10" xfId="0" applyFont="1" applyBorder="1" applyAlignment="1" applyProtection="1">
      <alignment horizontal="right" vertical="center" indent="1"/>
    </xf>
    <xf numFmtId="164" fontId="15" fillId="3" borderId="24" xfId="0" applyNumberFormat="1" applyFont="1" applyFill="1" applyBorder="1" applyAlignment="1" applyProtection="1">
      <alignment horizontal="left" vertical="center" wrapText="1" indent="2"/>
    </xf>
    <xf numFmtId="3" fontId="32" fillId="0" borderId="21" xfId="0" applyNumberFormat="1" applyFont="1" applyFill="1" applyBorder="1" applyAlignment="1" applyProtection="1">
      <alignment horizontal="right" vertical="center" indent="1"/>
    </xf>
    <xf numFmtId="0" fontId="0" fillId="0" borderId="0" xfId="0" applyFill="1" applyProtection="1"/>
    <xf numFmtId="0" fontId="31" fillId="0" borderId="15" xfId="0" applyFont="1" applyFill="1" applyBorder="1" applyAlignment="1" applyProtection="1">
      <alignment vertical="center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31" xfId="0" applyFont="1" applyFill="1" applyBorder="1" applyAlignment="1" applyProtection="1">
      <alignment horizontal="center" vertical="center"/>
    </xf>
    <xf numFmtId="49" fontId="30" fillId="0" borderId="11" xfId="0" applyNumberFormat="1" applyFont="1" applyFill="1" applyBorder="1" applyAlignment="1" applyProtection="1">
      <alignment vertical="center"/>
    </xf>
    <xf numFmtId="3" fontId="30" fillId="0" borderId="20" xfId="0" applyNumberFormat="1" applyFont="1" applyFill="1" applyBorder="1" applyAlignment="1" applyProtection="1">
      <alignment vertical="center"/>
    </xf>
    <xf numFmtId="49" fontId="34" fillId="0" borderId="8" xfId="0" quotePrefix="1" applyNumberFormat="1" applyFont="1" applyFill="1" applyBorder="1" applyAlignment="1" applyProtection="1">
      <alignment horizontal="left" vertical="center" indent="1"/>
    </xf>
    <xf numFmtId="3" fontId="34" fillId="0" borderId="16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vertical="center"/>
    </xf>
    <xf numFmtId="3" fontId="30" fillId="0" borderId="16" xfId="0" applyNumberFormat="1" applyFont="1" applyFill="1" applyBorder="1" applyAlignment="1" applyProtection="1">
      <alignment vertical="center"/>
    </xf>
    <xf numFmtId="49" fontId="31" fillId="0" borderId="13" xfId="0" applyNumberFormat="1" applyFont="1" applyFill="1" applyBorder="1" applyAlignment="1" applyProtection="1">
      <alignment vertical="center"/>
    </xf>
    <xf numFmtId="3" fontId="30" fillId="0" borderId="14" xfId="0" applyNumberFormat="1" applyFont="1" applyFill="1" applyBorder="1" applyAlignment="1" applyProtection="1">
      <alignment vertical="center"/>
    </xf>
    <xf numFmtId="3" fontId="30" fillId="0" borderId="21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164" fontId="19" fillId="0" borderId="0" xfId="0" applyNumberFormat="1" applyFont="1" applyFill="1" applyAlignment="1" applyProtection="1">
      <alignment vertical="center" wrapText="1"/>
    </xf>
    <xf numFmtId="0" fontId="8" fillId="0" borderId="39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0" fontId="8" fillId="0" borderId="41" xfId="0" applyFont="1" applyFill="1" applyBorder="1" applyAlignment="1" applyProtection="1">
      <alignment horizontal="center" vertical="center" wrapText="1"/>
    </xf>
    <xf numFmtId="164" fontId="8" fillId="0" borderId="42" xfId="0" applyNumberFormat="1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horizontal="left" vertical="center" wrapText="1" indent="1"/>
    </xf>
    <xf numFmtId="0" fontId="28" fillId="0" borderId="13" xfId="0" applyFont="1" applyBorder="1" applyAlignment="1" applyProtection="1">
      <alignment horizontal="center" vertical="center" wrapText="1"/>
    </xf>
    <xf numFmtId="0" fontId="40" fillId="0" borderId="43" xfId="0" applyFont="1" applyBorder="1" applyAlignment="1" applyProtection="1">
      <alignment horizontal="left" wrapText="1" indent="1"/>
    </xf>
    <xf numFmtId="0" fontId="22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22" fillId="0" borderId="0" xfId="0" applyFont="1" applyFill="1" applyAlignment="1" applyProtection="1">
      <alignment horizontal="left" vertical="center" wrapText="1"/>
    </xf>
    <xf numFmtId="0" fontId="22" fillId="0" borderId="0" xfId="0" applyFont="1" applyFill="1" applyAlignment="1" applyProtection="1">
      <alignment vertical="center" wrapText="1"/>
    </xf>
    <xf numFmtId="0" fontId="20" fillId="0" borderId="44" xfId="0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43" xfId="0" applyFont="1" applyFill="1" applyBorder="1" applyAlignment="1" applyProtection="1">
      <alignment vertical="center" wrapText="1"/>
    </xf>
    <xf numFmtId="0" fontId="41" fillId="0" borderId="0" xfId="0" applyFont="1" applyAlignment="1" applyProtection="1">
      <alignment horizontal="right" vertical="top"/>
      <protection locked="0"/>
    </xf>
    <xf numFmtId="16" fontId="0" fillId="0" borderId="0" xfId="0" applyNumberFormat="1" applyFill="1" applyAlignment="1">
      <alignment vertical="center" wrapText="1"/>
    </xf>
    <xf numFmtId="0" fontId="43" fillId="0" borderId="0" xfId="0" applyFont="1" applyFill="1" applyProtection="1"/>
    <xf numFmtId="0" fontId="30" fillId="0" borderId="9" xfId="0" applyFont="1" applyFill="1" applyBorder="1" applyAlignment="1" applyProtection="1">
      <alignment horizontal="center" vertical="center"/>
    </xf>
    <xf numFmtId="164" fontId="29" fillId="0" borderId="28" xfId="0" applyNumberFormat="1" applyFont="1" applyFill="1" applyBorder="1" applyAlignment="1" applyProtection="1">
      <alignment vertical="center"/>
    </xf>
    <xf numFmtId="0" fontId="30" fillId="0" borderId="8" xfId="0" applyFont="1" applyFill="1" applyBorder="1" applyAlignment="1" applyProtection="1">
      <alignment horizontal="center" vertical="center"/>
    </xf>
    <xf numFmtId="164" fontId="29" fillId="0" borderId="16" xfId="0" applyNumberFormat="1" applyFont="1" applyFill="1" applyBorder="1" applyAlignment="1" applyProtection="1">
      <alignment vertical="center"/>
    </xf>
    <xf numFmtId="0" fontId="30" fillId="0" borderId="10" xfId="0" applyFont="1" applyFill="1" applyBorder="1" applyAlignment="1" applyProtection="1">
      <alignment horizontal="center" vertical="center"/>
    </xf>
    <xf numFmtId="0" fontId="30" fillId="0" borderId="6" xfId="0" applyFont="1" applyFill="1" applyBorder="1" applyAlignment="1" applyProtection="1">
      <alignment vertical="center" wrapText="1"/>
    </xf>
    <xf numFmtId="164" fontId="29" fillId="0" borderId="18" xfId="0" applyNumberFormat="1" applyFont="1" applyFill="1" applyBorder="1" applyAlignment="1" applyProtection="1">
      <alignment vertical="center"/>
    </xf>
    <xf numFmtId="0" fontId="29" fillId="0" borderId="13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vertical="center" wrapText="1"/>
    </xf>
    <xf numFmtId="164" fontId="29" fillId="0" borderId="14" xfId="0" applyNumberFormat="1" applyFont="1" applyFill="1" applyBorder="1" applyAlignment="1" applyProtection="1">
      <alignment vertical="center"/>
    </xf>
    <xf numFmtId="164" fontId="29" fillId="0" borderId="21" xfId="0" applyNumberFormat="1" applyFont="1" applyFill="1" applyBorder="1" applyAlignment="1" applyProtection="1">
      <alignment vertical="center"/>
    </xf>
    <xf numFmtId="0" fontId="0" fillId="0" borderId="46" xfId="0" applyFill="1" applyBorder="1" applyProtection="1"/>
    <xf numFmtId="0" fontId="6" fillId="0" borderId="46" xfId="0" applyFont="1" applyFill="1" applyBorder="1" applyAlignment="1" applyProtection="1">
      <alignment horizontal="center"/>
    </xf>
    <xf numFmtId="0" fontId="43" fillId="0" borderId="0" xfId="0" applyFont="1" applyFill="1" applyProtection="1">
      <protection locked="0"/>
    </xf>
    <xf numFmtId="0" fontId="36" fillId="0" borderId="0" xfId="0" applyFont="1" applyFill="1" applyProtection="1">
      <protection locked="0"/>
    </xf>
    <xf numFmtId="164" fontId="20" fillId="0" borderId="37" xfId="4" applyNumberFormat="1" applyFont="1" applyFill="1" applyBorder="1" applyAlignment="1" applyProtection="1">
      <alignment horizontal="right" vertical="center" wrapText="1" indent="1"/>
    </xf>
    <xf numFmtId="164" fontId="22" fillId="0" borderId="47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2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7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2" xfId="4" applyNumberFormat="1" applyFont="1" applyFill="1" applyBorder="1" applyAlignment="1" applyProtection="1">
      <alignment horizontal="right" vertical="center" wrapText="1" indent="1"/>
      <protection locked="0"/>
    </xf>
    <xf numFmtId="0" fontId="22" fillId="0" borderId="2" xfId="5" applyFont="1" applyFill="1" applyBorder="1" applyAlignment="1" applyProtection="1">
      <alignment horizontal="left" vertical="center" indent="1"/>
    </xf>
    <xf numFmtId="0" fontId="22" fillId="0" borderId="3" xfId="5" applyFont="1" applyFill="1" applyBorder="1" applyAlignment="1" applyProtection="1">
      <alignment horizontal="left" vertical="center" wrapText="1" indent="1"/>
    </xf>
    <xf numFmtId="0" fontId="22" fillId="0" borderId="2" xfId="5" applyFont="1" applyFill="1" applyBorder="1" applyAlignment="1" applyProtection="1">
      <alignment horizontal="left" vertical="center" wrapText="1" indent="1"/>
    </xf>
    <xf numFmtId="0" fontId="22" fillId="0" borderId="3" xfId="5" applyFont="1" applyFill="1" applyBorder="1" applyAlignment="1" applyProtection="1">
      <alignment horizontal="left" vertical="center" indent="1"/>
    </xf>
    <xf numFmtId="0" fontId="8" fillId="0" borderId="14" xfId="5" applyFont="1" applyFill="1" applyBorder="1" applyAlignment="1" applyProtection="1">
      <alignment horizontal="left" indent="1"/>
    </xf>
    <xf numFmtId="164" fontId="30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15" xfId="0" applyFont="1" applyFill="1" applyBorder="1" applyAlignment="1" applyProtection="1">
      <alignment horizontal="center" vertical="center" wrapText="1"/>
    </xf>
    <xf numFmtId="0" fontId="28" fillId="0" borderId="14" xfId="0" applyFont="1" applyBorder="1" applyAlignment="1" applyProtection="1">
      <alignment horizontal="left" vertical="center" wrapText="1" indent="1"/>
    </xf>
    <xf numFmtId="0" fontId="27" fillId="0" borderId="2" xfId="0" applyFont="1" applyBorder="1" applyAlignment="1" applyProtection="1">
      <alignment horizontal="left" vertical="center" wrapText="1" indent="1"/>
    </xf>
    <xf numFmtId="0" fontId="27" fillId="0" borderId="6" xfId="0" applyFont="1" applyBorder="1" applyAlignment="1" applyProtection="1">
      <alignment horizontal="left" vertical="center" wrapText="1" indent="1"/>
    </xf>
    <xf numFmtId="0" fontId="28" fillId="0" borderId="22" xfId="0" applyFont="1" applyBorder="1" applyAlignment="1" applyProtection="1">
      <alignment horizontal="left" vertical="center" wrapText="1" indent="1"/>
    </xf>
    <xf numFmtId="164" fontId="20" fillId="0" borderId="31" xfId="4" applyNumberFormat="1" applyFont="1" applyFill="1" applyBorder="1" applyAlignment="1" applyProtection="1">
      <alignment horizontal="right" vertical="center" wrapText="1" indent="1"/>
    </xf>
    <xf numFmtId="164" fontId="20" fillId="0" borderId="21" xfId="4" applyNumberFormat="1" applyFont="1" applyFill="1" applyBorder="1" applyAlignment="1" applyProtection="1">
      <alignment horizontal="right" vertical="center" wrapText="1" indent="1"/>
    </xf>
    <xf numFmtId="164" fontId="22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8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4" applyNumberFormat="1" applyFont="1" applyFill="1" applyBorder="1" applyAlignment="1" applyProtection="1">
      <alignment horizontal="right" vertical="center" wrapText="1" indent="1"/>
    </xf>
    <xf numFmtId="164" fontId="7" fillId="0" borderId="0" xfId="4" applyNumberFormat="1" applyFont="1" applyFill="1" applyBorder="1" applyAlignment="1" applyProtection="1">
      <alignment horizontal="right" vertical="center" wrapText="1" indent="1"/>
    </xf>
    <xf numFmtId="164" fontId="22" fillId="0" borderId="30" xfId="4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1" xfId="0" applyNumberFormat="1" applyFont="1" applyBorder="1" applyAlignment="1" applyProtection="1">
      <alignment horizontal="right" vertical="center" wrapText="1" indent="1"/>
    </xf>
    <xf numFmtId="0" fontId="6" fillId="0" borderId="36" xfId="0" applyFont="1" applyFill="1" applyBorder="1" applyAlignment="1" applyProtection="1">
      <alignment horizontal="right" vertical="center"/>
    </xf>
    <xf numFmtId="164" fontId="22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0" applyNumberFormat="1" applyFont="1" applyFill="1" applyBorder="1" applyAlignment="1" applyProtection="1">
      <alignment horizontal="right" vertical="center" wrapText="1" indent="1"/>
    </xf>
    <xf numFmtId="164" fontId="30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0" applyNumberFormat="1" applyFont="1" applyFill="1" applyBorder="1" applyAlignment="1" applyProtection="1">
      <alignment horizontal="right" vertical="center" wrapText="1" indent="1"/>
    </xf>
    <xf numFmtId="164" fontId="30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8" fillId="0" borderId="13" xfId="0" applyNumberFormat="1" applyFont="1" applyFill="1" applyBorder="1" applyAlignment="1" applyProtection="1">
      <alignment horizontal="centerContinuous" vertical="center" wrapText="1"/>
    </xf>
    <xf numFmtId="164" fontId="8" fillId="0" borderId="14" xfId="0" applyNumberFormat="1" applyFont="1" applyFill="1" applyBorder="1" applyAlignment="1" applyProtection="1">
      <alignment horizontal="centerContinuous" vertical="center" wrapText="1"/>
    </xf>
    <xf numFmtId="164" fontId="8" fillId="0" borderId="21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9" fillId="0" borderId="24" xfId="0" applyNumberFormat="1" applyFont="1" applyFill="1" applyBorder="1" applyAlignment="1" applyProtection="1">
      <alignment horizontal="center" vertical="center" wrapText="1"/>
    </xf>
    <xf numFmtId="164" fontId="29" fillId="0" borderId="13" xfId="0" applyNumberFormat="1" applyFont="1" applyFill="1" applyBorder="1" applyAlignment="1" applyProtection="1">
      <alignment horizontal="center" vertical="center" wrapText="1"/>
    </xf>
    <xf numFmtId="164" fontId="29" fillId="0" borderId="14" xfId="0" applyNumberFormat="1" applyFont="1" applyFill="1" applyBorder="1" applyAlignment="1" applyProtection="1">
      <alignment horizontal="center" vertical="center" wrapText="1"/>
    </xf>
    <xf numFmtId="164" fontId="29" fillId="0" borderId="21" xfId="0" applyNumberFormat="1" applyFont="1" applyFill="1" applyBorder="1" applyAlignment="1" applyProtection="1">
      <alignment horizontal="center" vertical="center" wrapText="1"/>
    </xf>
    <xf numFmtId="164" fontId="29" fillId="0" borderId="0" xfId="0" applyNumberFormat="1" applyFont="1" applyFill="1" applyAlignment="1" applyProtection="1">
      <alignment horizontal="center" vertical="center" wrapText="1"/>
    </xf>
    <xf numFmtId="164" fontId="0" fillId="0" borderId="26" xfId="0" applyNumberForma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25" xfId="0" applyNumberFormat="1" applyFill="1" applyBorder="1" applyAlignment="1" applyProtection="1">
      <alignment horizontal="left" vertical="center" wrapText="1" indent="1"/>
    </xf>
    <xf numFmtId="164" fontId="22" fillId="0" borderId="8" xfId="0" applyNumberFormat="1" applyFont="1" applyFill="1" applyBorder="1" applyAlignment="1" applyProtection="1">
      <alignment horizontal="left" vertical="center" wrapText="1" indent="1"/>
    </xf>
    <xf numFmtId="164" fontId="22" fillId="0" borderId="50" xfId="0" applyNumberFormat="1" applyFont="1" applyFill="1" applyBorder="1" applyAlignment="1" applyProtection="1">
      <alignment horizontal="left" vertical="center" wrapText="1" indent="1"/>
    </xf>
    <xf numFmtId="164" fontId="32" fillId="0" borderId="24" xfId="0" applyNumberFormat="1" applyFont="1" applyFill="1" applyBorder="1" applyAlignment="1" applyProtection="1">
      <alignment horizontal="left" vertical="center" wrapText="1" indent="1"/>
    </xf>
    <xf numFmtId="164" fontId="1" fillId="0" borderId="27" xfId="0" applyNumberFormat="1" applyFont="1" applyFill="1" applyBorder="1" applyAlignment="1" applyProtection="1">
      <alignment horizontal="left" vertical="center" wrapText="1" indent="1"/>
    </xf>
    <xf numFmtId="164" fontId="30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25" xfId="0" applyNumberFormat="1" applyFont="1" applyFill="1" applyBorder="1" applyAlignment="1" applyProtection="1">
      <alignment horizontal="left" vertical="center" wrapText="1" indent="1"/>
    </xf>
    <xf numFmtId="164" fontId="34" fillId="0" borderId="2" xfId="0" applyNumberFormat="1" applyFont="1" applyFill="1" applyBorder="1" applyAlignment="1" applyProtection="1">
      <alignment horizontal="right" vertical="center" wrapText="1" indent="1"/>
    </xf>
    <xf numFmtId="164" fontId="32" fillId="0" borderId="13" xfId="0" applyNumberFormat="1" applyFont="1" applyFill="1" applyBorder="1" applyAlignment="1" applyProtection="1">
      <alignment horizontal="left" vertical="center" wrapText="1" indent="1"/>
    </xf>
    <xf numFmtId="164" fontId="32" fillId="0" borderId="37" xfId="0" applyNumberFormat="1" applyFont="1" applyFill="1" applyBorder="1" applyAlignment="1" applyProtection="1">
      <alignment horizontal="right" vertical="center" wrapText="1" indent="1"/>
    </xf>
    <xf numFmtId="164" fontId="29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34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2"/>
    </xf>
    <xf numFmtId="164" fontId="30" fillId="0" borderId="2" xfId="0" applyNumberFormat="1" applyFont="1" applyFill="1" applyBorder="1" applyAlignment="1" applyProtection="1">
      <alignment horizontal="left" vertical="center" wrapText="1" indent="2"/>
    </xf>
    <xf numFmtId="164" fontId="34" fillId="0" borderId="2" xfId="0" applyNumberFormat="1" applyFont="1" applyFill="1" applyBorder="1" applyAlignment="1" applyProtection="1">
      <alignment horizontal="left" vertical="center" wrapText="1" indent="1"/>
    </xf>
    <xf numFmtId="164" fontId="30" fillId="0" borderId="9" xfId="0" applyNumberFormat="1" applyFon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2"/>
    </xf>
    <xf numFmtId="164" fontId="22" fillId="0" borderId="10" xfId="0" applyNumberFormat="1" applyFont="1" applyFill="1" applyBorder="1" applyAlignment="1" applyProtection="1">
      <alignment horizontal="left" vertical="center" wrapText="1" indent="2"/>
    </xf>
    <xf numFmtId="164" fontId="34" fillId="0" borderId="3" xfId="0" applyNumberFormat="1" applyFont="1" applyFill="1" applyBorder="1" applyAlignment="1" applyProtection="1">
      <alignment horizontal="right" vertical="center" wrapText="1" indent="1"/>
    </xf>
    <xf numFmtId="165" fontId="30" fillId="0" borderId="51" xfId="1" applyNumberFormat="1" applyFont="1" applyFill="1" applyBorder="1" applyProtection="1">
      <protection locked="0"/>
    </xf>
    <xf numFmtId="165" fontId="30" fillId="0" borderId="47" xfId="1" applyNumberFormat="1" applyFont="1" applyFill="1" applyBorder="1" applyProtection="1">
      <protection locked="0"/>
    </xf>
    <xf numFmtId="165" fontId="30" fillId="0" borderId="42" xfId="1" applyNumberFormat="1" applyFont="1" applyFill="1" applyBorder="1" applyProtection="1">
      <protection locked="0"/>
    </xf>
    <xf numFmtId="0" fontId="30" fillId="0" borderId="3" xfId="4" applyFont="1" applyFill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0" fontId="8" fillId="0" borderId="20" xfId="0" quotePrefix="1" applyFont="1" applyFill="1" applyBorder="1" applyAlignment="1" applyProtection="1">
      <alignment horizontal="right" vertical="center" indent="1"/>
    </xf>
    <xf numFmtId="0" fontId="8" fillId="0" borderId="31" xfId="0" applyFont="1" applyFill="1" applyBorder="1" applyAlignment="1" applyProtection="1">
      <alignment horizontal="right" vertical="center" wrapText="1" indent="1"/>
    </xf>
    <xf numFmtId="164" fontId="8" fillId="0" borderId="42" xfId="0" applyNumberFormat="1" applyFont="1" applyFill="1" applyBorder="1" applyAlignment="1" applyProtection="1">
      <alignment horizontal="right" vertical="center" wrapText="1" indent="1"/>
    </xf>
    <xf numFmtId="164" fontId="22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0" applyNumberFormat="1" applyFont="1" applyFill="1" applyBorder="1" applyAlignment="1" applyProtection="1">
      <alignment horizontal="right" vertical="center" wrapText="1" indent="1"/>
    </xf>
    <xf numFmtId="164" fontId="20" fillId="0" borderId="0" xfId="0" applyNumberFormat="1" applyFont="1" applyFill="1" applyBorder="1" applyAlignment="1" applyProtection="1">
      <alignment horizontal="right" vertical="center" wrapText="1" indent="1"/>
    </xf>
    <xf numFmtId="0" fontId="22" fillId="0" borderId="0" xfId="0" applyFont="1" applyFill="1" applyAlignment="1" applyProtection="1">
      <alignment horizontal="right" vertical="center" wrapText="1" indent="1"/>
    </xf>
    <xf numFmtId="164" fontId="20" fillId="0" borderId="37" xfId="0" applyNumberFormat="1" applyFont="1" applyFill="1" applyBorder="1" applyAlignment="1" applyProtection="1">
      <alignment horizontal="right" vertical="center" wrapText="1" indent="1"/>
    </xf>
    <xf numFmtId="164" fontId="20" fillId="0" borderId="21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8" fillId="0" borderId="20" xfId="0" applyNumberFormat="1" applyFont="1" applyFill="1" applyBorder="1" applyAlignment="1" applyProtection="1">
      <alignment horizontal="right" vertical="center"/>
    </xf>
    <xf numFmtId="49" fontId="8" fillId="0" borderId="52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 wrapText="1"/>
    </xf>
    <xf numFmtId="0" fontId="7" fillId="0" borderId="53" xfId="4" applyFont="1" applyFill="1" applyBorder="1" applyAlignment="1" applyProtection="1">
      <alignment horizontal="center" vertical="center" wrapText="1"/>
    </xf>
    <xf numFmtId="0" fontId="7" fillId="0" borderId="53" xfId="4" applyFont="1" applyFill="1" applyBorder="1" applyAlignment="1" applyProtection="1">
      <alignment vertical="center" wrapText="1"/>
    </xf>
    <xf numFmtId="164" fontId="7" fillId="0" borderId="53" xfId="4" applyNumberFormat="1" applyFont="1" applyFill="1" applyBorder="1" applyAlignment="1" applyProtection="1">
      <alignment horizontal="right" vertical="center" wrapText="1" indent="1"/>
    </xf>
    <xf numFmtId="0" fontId="22" fillId="0" borderId="53" xfId="4" applyFont="1" applyFill="1" applyBorder="1" applyAlignment="1" applyProtection="1">
      <alignment horizontal="right" vertical="center" wrapText="1" indent="1"/>
      <protection locked="0"/>
    </xf>
    <xf numFmtId="164" fontId="30" fillId="0" borderId="53" xfId="4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6" fillId="0" borderId="31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horizontal="right"/>
    </xf>
    <xf numFmtId="0" fontId="32" fillId="0" borderId="15" xfId="0" applyFont="1" applyBorder="1" applyAlignment="1" applyProtection="1">
      <alignment horizontal="center" vertical="center" wrapText="1"/>
    </xf>
    <xf numFmtId="0" fontId="32" fillId="0" borderId="19" xfId="0" applyFont="1" applyBorder="1" applyAlignment="1" applyProtection="1">
      <alignment horizontal="center" vertical="center"/>
    </xf>
    <xf numFmtId="0" fontId="32" fillId="0" borderId="31" xfId="0" applyFont="1" applyBorder="1" applyAlignment="1" applyProtection="1">
      <alignment horizontal="center" vertical="center" wrapText="1"/>
    </xf>
    <xf numFmtId="0" fontId="26" fillId="0" borderId="23" xfId="0" applyFont="1" applyBorder="1" applyAlignment="1" applyProtection="1">
      <alignment horizontal="left" vertical="center" wrapText="1" indent="1"/>
    </xf>
    <xf numFmtId="0" fontId="12" fillId="0" borderId="0" xfId="4" applyFont="1" applyFill="1" applyProtection="1"/>
    <xf numFmtId="0" fontId="12" fillId="0" borderId="0" xfId="4" applyFont="1" applyFill="1" applyAlignment="1" applyProtection="1">
      <alignment horizontal="right" vertical="center" indent="1"/>
    </xf>
    <xf numFmtId="0" fontId="12" fillId="0" borderId="0" xfId="4" applyFont="1" applyFill="1"/>
    <xf numFmtId="0" fontId="12" fillId="0" borderId="0" xfId="4" applyFont="1" applyFill="1" applyAlignment="1">
      <alignment horizontal="right" vertical="center" indent="1"/>
    </xf>
    <xf numFmtId="0" fontId="41" fillId="0" borderId="2" xfId="0" applyFont="1" applyBorder="1" applyAlignment="1">
      <alignment horizontal="justify" wrapText="1"/>
    </xf>
    <xf numFmtId="0" fontId="41" fillId="0" borderId="2" xfId="0" applyFont="1" applyBorder="1" applyAlignment="1">
      <alignment wrapText="1"/>
    </xf>
    <xf numFmtId="0" fontId="41" fillId="0" borderId="29" xfId="0" applyFont="1" applyBorder="1" applyAlignment="1">
      <alignment wrapText="1"/>
    </xf>
    <xf numFmtId="0" fontId="47" fillId="0" borderId="0" xfId="0" applyFont="1" applyFill="1" applyAlignment="1" applyProtection="1">
      <alignment horizontal="left" vertical="center" wrapText="1"/>
    </xf>
    <xf numFmtId="0" fontId="47" fillId="0" borderId="0" xfId="0" applyFont="1" applyFill="1" applyAlignment="1" applyProtection="1">
      <alignment vertical="center" wrapText="1"/>
    </xf>
    <xf numFmtId="0" fontId="47" fillId="0" borderId="0" xfId="0" applyFont="1" applyFill="1" applyAlignment="1" applyProtection="1">
      <alignment horizontal="right" vertical="center" wrapText="1" inden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right" vertical="center" wrapText="1" indent="1"/>
    </xf>
    <xf numFmtId="164" fontId="0" fillId="0" borderId="27" xfId="0" applyNumberFormat="1" applyFill="1" applyBorder="1" applyAlignment="1" applyProtection="1">
      <alignment horizontal="left" vertical="center" wrapText="1" indent="1"/>
    </xf>
    <xf numFmtId="164" fontId="22" fillId="0" borderId="7" xfId="0" applyNumberFormat="1" applyFont="1" applyFill="1" applyBorder="1" applyAlignment="1" applyProtection="1">
      <alignment horizontal="left" vertical="center" wrapText="1" indent="1"/>
    </xf>
    <xf numFmtId="164" fontId="22" fillId="0" borderId="54" xfId="0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9" xfId="4" applyNumberFormat="1" applyFont="1" applyFill="1" applyBorder="1" applyAlignment="1" applyProtection="1">
      <alignment horizontal="right" vertical="center" wrapText="1" indent="1"/>
    </xf>
    <xf numFmtId="164" fontId="20" fillId="0" borderId="14" xfId="4" applyNumberFormat="1" applyFont="1" applyFill="1" applyBorder="1" applyAlignment="1" applyProtection="1">
      <alignment horizontal="right" vertical="center" wrapText="1" indent="1"/>
    </xf>
    <xf numFmtId="164" fontId="22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4" applyNumberFormat="1" applyFont="1" applyFill="1" applyBorder="1" applyAlignment="1" applyProtection="1">
      <alignment horizontal="right" vertical="center" wrapText="1" indent="1"/>
    </xf>
    <xf numFmtId="0" fontId="8" fillId="0" borderId="43" xfId="4" applyFont="1" applyFill="1" applyBorder="1" applyAlignment="1" applyProtection="1">
      <alignment horizontal="center" vertical="center" wrapText="1"/>
    </xf>
    <xf numFmtId="164" fontId="27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56" xfId="0" applyFont="1" applyFill="1" applyBorder="1" applyAlignment="1" applyProtection="1">
      <alignment horizontal="center" vertical="center" wrapText="1"/>
    </xf>
    <xf numFmtId="0" fontId="8" fillId="0" borderId="44" xfId="0" applyFont="1" applyFill="1" applyBorder="1" applyAlignment="1" applyProtection="1">
      <alignment horizontal="center" vertical="center" wrapText="1"/>
    </xf>
    <xf numFmtId="0" fontId="20" fillId="0" borderId="15" xfId="4" applyFont="1" applyFill="1" applyBorder="1" applyAlignment="1" applyProtection="1">
      <alignment horizontal="center" vertical="center" wrapText="1"/>
    </xf>
    <xf numFmtId="0" fontId="20" fillId="0" borderId="19" xfId="4" applyFont="1" applyFill="1" applyBorder="1" applyAlignment="1" applyProtection="1">
      <alignment horizontal="center" vertical="center" wrapText="1"/>
    </xf>
    <xf numFmtId="0" fontId="20" fillId="0" borderId="31" xfId="4" applyFont="1" applyFill="1" applyBorder="1" applyAlignment="1" applyProtection="1">
      <alignment horizontal="center" vertical="center" wrapText="1"/>
    </xf>
    <xf numFmtId="164" fontId="22" fillId="0" borderId="28" xfId="4" applyNumberFormat="1" applyFont="1" applyFill="1" applyBorder="1" applyAlignment="1" applyProtection="1">
      <alignment horizontal="righ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6"/>
    </xf>
    <xf numFmtId="0" fontId="12" fillId="0" borderId="0" xfId="4" applyFill="1" applyProtection="1"/>
    <xf numFmtId="0" fontId="22" fillId="0" borderId="0" xfId="4" applyFont="1" applyFill="1" applyProtection="1"/>
    <xf numFmtId="0" fontId="15" fillId="0" borderId="0" xfId="4" applyFont="1" applyFill="1" applyProtection="1"/>
    <xf numFmtId="0" fontId="27" fillId="0" borderId="3" xfId="0" applyFont="1" applyBorder="1" applyAlignment="1" applyProtection="1">
      <alignment horizontal="left" wrapText="1" indent="1"/>
    </xf>
    <xf numFmtId="0" fontId="27" fillId="0" borderId="2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wrapText="1"/>
    </xf>
    <xf numFmtId="0" fontId="27" fillId="0" borderId="9" xfId="0" applyFont="1" applyBorder="1" applyAlignment="1" applyProtection="1">
      <alignment wrapText="1"/>
    </xf>
    <xf numFmtId="0" fontId="27" fillId="0" borderId="8" xfId="0" applyFont="1" applyBorder="1" applyAlignment="1" applyProtection="1">
      <alignment wrapText="1"/>
    </xf>
    <xf numFmtId="0" fontId="27" fillId="0" borderId="10" xfId="0" applyFont="1" applyBorder="1" applyAlignment="1" applyProtection="1">
      <alignment wrapText="1"/>
    </xf>
    <xf numFmtId="0" fontId="28" fillId="0" borderId="14" xfId="0" applyFont="1" applyBorder="1" applyAlignment="1" applyProtection="1">
      <alignment wrapText="1"/>
    </xf>
    <xf numFmtId="0" fontId="28" fillId="0" borderId="23" xfId="0" applyFont="1" applyBorder="1" applyAlignment="1" applyProtection="1">
      <alignment wrapText="1"/>
    </xf>
    <xf numFmtId="0" fontId="12" fillId="0" borderId="0" xfId="4" applyFill="1" applyAlignment="1" applyProtection="1"/>
    <xf numFmtId="164" fontId="26" fillId="0" borderId="21" xfId="0" quotePrefix="1" applyNumberFormat="1" applyFont="1" applyBorder="1" applyAlignment="1" applyProtection="1">
      <alignment horizontal="right" vertical="center" wrapText="1" indent="1"/>
    </xf>
    <xf numFmtId="0" fontId="25" fillId="0" borderId="0" xfId="4" applyFont="1" applyFill="1" applyProtection="1"/>
    <xf numFmtId="0" fontId="24" fillId="0" borderId="0" xfId="4" applyFont="1" applyFill="1" applyProtection="1"/>
    <xf numFmtId="0" fontId="12" fillId="0" borderId="0" xfId="4" applyFill="1" applyBorder="1" applyProtection="1"/>
    <xf numFmtId="164" fontId="3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22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30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49" fontId="22" fillId="0" borderId="9" xfId="4" applyNumberFormat="1" applyFont="1" applyFill="1" applyBorder="1" applyAlignment="1" applyProtection="1">
      <alignment horizontal="center" vertical="center" wrapText="1"/>
    </xf>
    <xf numFmtId="49" fontId="22" fillId="0" borderId="8" xfId="4" applyNumberFormat="1" applyFont="1" applyFill="1" applyBorder="1" applyAlignment="1" applyProtection="1">
      <alignment horizontal="center" vertical="center" wrapText="1"/>
    </xf>
    <xf numFmtId="49" fontId="22" fillId="0" borderId="10" xfId="4" applyNumberFormat="1" applyFont="1" applyFill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wrapText="1"/>
    </xf>
    <xf numFmtId="0" fontId="27" fillId="0" borderId="9" xfId="0" applyFont="1" applyBorder="1" applyAlignment="1" applyProtection="1">
      <alignment horizontal="center" wrapText="1"/>
    </xf>
    <xf numFmtId="0" fontId="27" fillId="0" borderId="8" xfId="0" applyFont="1" applyBorder="1" applyAlignment="1" applyProtection="1">
      <alignment horizontal="center" wrapText="1"/>
    </xf>
    <xf numFmtId="0" fontId="27" fillId="0" borderId="10" xfId="0" applyFont="1" applyBorder="1" applyAlignment="1" applyProtection="1">
      <alignment horizontal="center" wrapText="1"/>
    </xf>
    <xf numFmtId="0" fontId="28" fillId="0" borderId="22" xfId="0" applyFont="1" applyBorder="1" applyAlignment="1" applyProtection="1">
      <alignment horizontal="center" wrapText="1"/>
    </xf>
    <xf numFmtId="49" fontId="22" fillId="0" borderId="11" xfId="4" applyNumberFormat="1" applyFont="1" applyFill="1" applyBorder="1" applyAlignment="1" applyProtection="1">
      <alignment horizontal="center" vertical="center" wrapText="1"/>
    </xf>
    <xf numFmtId="49" fontId="22" fillId="0" borderId="7" xfId="4" applyNumberFormat="1" applyFont="1" applyFill="1" applyBorder="1" applyAlignment="1" applyProtection="1">
      <alignment horizontal="center" vertical="center" wrapText="1"/>
    </xf>
    <xf numFmtId="49" fontId="22" fillId="0" borderId="12" xfId="4" applyNumberFormat="1" applyFont="1" applyFill="1" applyBorder="1" applyAlignment="1" applyProtection="1">
      <alignment horizontal="center" vertical="center" wrapText="1"/>
    </xf>
    <xf numFmtId="0" fontId="28" fillId="0" borderId="22" xfId="0" applyFont="1" applyBorder="1" applyAlignment="1" applyProtection="1">
      <alignment horizontal="center" vertical="center" wrapText="1"/>
    </xf>
    <xf numFmtId="164" fontId="29" fillId="0" borderId="37" xfId="4" applyNumberFormat="1" applyFont="1" applyFill="1" applyBorder="1" applyAlignment="1" applyProtection="1">
      <alignment horizontal="right" vertical="center" wrapText="1" indent="1"/>
    </xf>
    <xf numFmtId="0" fontId="20" fillId="0" borderId="37" xfId="4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 wrapText="1"/>
    </xf>
    <xf numFmtId="49" fontId="30" fillId="0" borderId="11" xfId="0" applyNumberFormat="1" applyFont="1" applyFill="1" applyBorder="1" applyAlignment="1" applyProtection="1">
      <alignment horizontal="center" vertical="center" wrapText="1"/>
    </xf>
    <xf numFmtId="49" fontId="30" fillId="0" borderId="8" xfId="0" applyNumberFormat="1" applyFont="1" applyFill="1" applyBorder="1" applyAlignment="1" applyProtection="1">
      <alignment horizontal="center" vertical="center" wrapText="1"/>
    </xf>
    <xf numFmtId="49" fontId="30" fillId="0" borderId="9" xfId="0" applyNumberFormat="1" applyFont="1" applyFill="1" applyBorder="1" applyAlignment="1" applyProtection="1">
      <alignment horizontal="center" vertical="center" wrapText="1"/>
    </xf>
    <xf numFmtId="0" fontId="30" fillId="0" borderId="3" xfId="4" applyFont="1" applyFill="1" applyBorder="1" applyAlignment="1" applyProtection="1">
      <alignment horizontal="left" vertical="center" wrapText="1" indent="1"/>
    </xf>
    <xf numFmtId="0" fontId="30" fillId="0" borderId="2" xfId="4" applyFont="1" applyFill="1" applyBorder="1" applyAlignment="1" applyProtection="1">
      <alignment horizontal="left" vertical="center" wrapText="1" indent="1"/>
    </xf>
    <xf numFmtId="0" fontId="41" fillId="0" borderId="0" xfId="0" applyFont="1" applyAlignment="1" applyProtection="1">
      <alignment horizontal="right" vertical="top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</xf>
    <xf numFmtId="164" fontId="30" fillId="0" borderId="28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1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13" xfId="0" applyFont="1" applyBorder="1" applyAlignment="1" applyProtection="1">
      <alignment vertical="center" wrapText="1"/>
    </xf>
    <xf numFmtId="0" fontId="28" fillId="0" borderId="22" xfId="0" applyFont="1" applyBorder="1" applyAlignment="1" applyProtection="1">
      <alignment vertical="center" wrapText="1"/>
    </xf>
    <xf numFmtId="164" fontId="20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7" xfId="4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13" xfId="4" applyFont="1" applyFill="1" applyBorder="1" applyAlignment="1">
      <alignment horizontal="center" vertical="center"/>
    </xf>
    <xf numFmtId="165" fontId="32" fillId="0" borderId="14" xfId="4" applyNumberFormat="1" applyFont="1" applyFill="1" applyBorder="1"/>
    <xf numFmtId="165" fontId="32" fillId="0" borderId="21" xfId="4" applyNumberFormat="1" applyFont="1" applyFill="1" applyBorder="1"/>
    <xf numFmtId="0" fontId="36" fillId="0" borderId="0" xfId="4" applyFont="1" applyFill="1"/>
    <xf numFmtId="0" fontId="29" fillId="0" borderId="13" xfId="4" applyFont="1" applyFill="1" applyBorder="1" applyAlignment="1" applyProtection="1">
      <alignment horizontal="center" vertical="center"/>
    </xf>
    <xf numFmtId="164" fontId="2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6" fontId="32" fillId="0" borderId="6" xfId="4" applyNumberFormat="1" applyFont="1" applyFill="1" applyBorder="1" applyAlignment="1">
      <alignment horizontal="center" vertical="center" wrapText="1"/>
    </xf>
    <xf numFmtId="0" fontId="27" fillId="0" borderId="6" xfId="0" applyFont="1" applyBorder="1" applyAlignment="1" applyProtection="1">
      <alignment vertical="center" wrapText="1"/>
    </xf>
    <xf numFmtId="0" fontId="20" fillId="0" borderId="22" xfId="4" applyFont="1" applyFill="1" applyBorder="1" applyAlignment="1" applyProtection="1">
      <alignment horizontal="left" vertical="center" wrapText="1" indent="1"/>
    </xf>
    <xf numFmtId="0" fontId="20" fillId="0" borderId="23" xfId="4" applyFont="1" applyFill="1" applyBorder="1" applyAlignment="1" applyProtection="1">
      <alignment vertical="center" wrapText="1"/>
    </xf>
    <xf numFmtId="164" fontId="20" fillId="0" borderId="38" xfId="4" applyNumberFormat="1" applyFont="1" applyFill="1" applyBorder="1" applyAlignment="1" applyProtection="1">
      <alignment horizontal="right" vertical="center" wrapText="1" indent="1"/>
    </xf>
    <xf numFmtId="0" fontId="22" fillId="0" borderId="29" xfId="4" applyFont="1" applyFill="1" applyBorder="1" applyAlignment="1" applyProtection="1">
      <alignment horizontal="left" vertical="center" wrapText="1" indent="7"/>
    </xf>
    <xf numFmtId="164" fontId="28" fillId="0" borderId="21" xfId="0" applyNumberFormat="1" applyFont="1" applyBorder="1" applyAlignment="1" applyProtection="1">
      <alignment horizontal="right" vertical="center" wrapText="1" indent="1"/>
      <protection locked="0"/>
    </xf>
    <xf numFmtId="0" fontId="20" fillId="0" borderId="13" xfId="4" applyFont="1" applyFill="1" applyBorder="1" applyAlignment="1" applyProtection="1">
      <alignment horizontal="left" vertical="center" wrapText="1"/>
    </xf>
    <xf numFmtId="164" fontId="34" fillId="0" borderId="1" xfId="0" applyNumberFormat="1" applyFont="1" applyFill="1" applyBorder="1" applyAlignment="1" applyProtection="1">
      <alignment horizontal="right" vertical="center" wrapText="1" indent="1"/>
    </xf>
    <xf numFmtId="49" fontId="8" fillId="0" borderId="52" xfId="0" applyNumberFormat="1" applyFont="1" applyFill="1" applyBorder="1" applyAlignment="1" applyProtection="1">
      <alignment horizontal="right" vertical="center" indent="1"/>
    </xf>
    <xf numFmtId="49" fontId="29" fillId="0" borderId="13" xfId="4" applyNumberFormat="1" applyFont="1" applyFill="1" applyBorder="1" applyAlignment="1" applyProtection="1">
      <alignment horizontal="center" vertical="center" wrapText="1"/>
    </xf>
    <xf numFmtId="164" fontId="20" fillId="0" borderId="57" xfId="4" applyNumberFormat="1" applyFont="1" applyFill="1" applyBorder="1" applyAlignment="1" applyProtection="1">
      <alignment horizontal="right" vertical="center" wrapText="1" indent="1"/>
    </xf>
    <xf numFmtId="164" fontId="22" fillId="0" borderId="51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58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52" xfId="4" applyNumberFormat="1" applyFont="1" applyFill="1" applyBorder="1" applyAlignment="1" applyProtection="1">
      <alignment horizontal="right" vertical="center" wrapText="1" indent="1"/>
    </xf>
    <xf numFmtId="164" fontId="28" fillId="0" borderId="37" xfId="0" applyNumberFormat="1" applyFont="1" applyBorder="1" applyAlignment="1" applyProtection="1">
      <alignment horizontal="right" vertical="center" wrapText="1" indent="1"/>
    </xf>
    <xf numFmtId="164" fontId="28" fillId="0" borderId="37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37" xfId="0" quotePrefix="1" applyNumberFormat="1" applyFont="1" applyBorder="1" applyAlignment="1" applyProtection="1">
      <alignment horizontal="right" vertical="center" wrapText="1" indent="1"/>
    </xf>
    <xf numFmtId="164" fontId="22" fillId="0" borderId="4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3" xfId="4" applyNumberFormat="1" applyFont="1" applyFill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</xf>
    <xf numFmtId="0" fontId="20" fillId="0" borderId="57" xfId="4" applyFont="1" applyFill="1" applyBorder="1" applyAlignment="1" applyProtection="1">
      <alignment horizontal="center" vertical="center" wrapText="1"/>
    </xf>
    <xf numFmtId="0" fontId="29" fillId="0" borderId="23" xfId="4" applyFont="1" applyFill="1" applyBorder="1" applyAlignment="1" applyProtection="1">
      <alignment vertical="center" wrapText="1"/>
    </xf>
    <xf numFmtId="164" fontId="29" fillId="0" borderId="23" xfId="4" applyNumberFormat="1" applyFont="1" applyFill="1" applyBorder="1" applyAlignment="1" applyProtection="1">
      <alignment horizontal="right" vertical="center" wrapText="1" indent="1"/>
    </xf>
    <xf numFmtId="164" fontId="29" fillId="0" borderId="52" xfId="4" applyNumberFormat="1" applyFont="1" applyFill="1" applyBorder="1" applyAlignment="1" applyProtection="1">
      <alignment horizontal="right" vertical="center" wrapText="1" indent="1"/>
    </xf>
    <xf numFmtId="0" fontId="22" fillId="0" borderId="53" xfId="4" applyFont="1" applyFill="1" applyBorder="1" applyAlignment="1" applyProtection="1">
      <alignment horizontal="right" vertical="center" wrapText="1" indent="1"/>
    </xf>
    <xf numFmtId="164" fontId="30" fillId="0" borderId="53" xfId="4" applyNumberFormat="1" applyFont="1" applyFill="1" applyBorder="1" applyAlignment="1" applyProtection="1">
      <alignment horizontal="right" vertical="center" wrapText="1" indent="1"/>
    </xf>
    <xf numFmtId="0" fontId="15" fillId="0" borderId="0" xfId="4" applyFont="1" applyFill="1" applyBorder="1" applyProtection="1"/>
    <xf numFmtId="164" fontId="29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4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  <protection locked="0"/>
    </xf>
    <xf numFmtId="164" fontId="26" fillId="0" borderId="37" xfId="0" quotePrefix="1" applyNumberFormat="1" applyFont="1" applyBorder="1" applyAlignment="1" applyProtection="1">
      <alignment horizontal="right" vertical="center" wrapText="1" indent="1"/>
      <protection locked="0"/>
    </xf>
    <xf numFmtId="0" fontId="27" fillId="0" borderId="6" xfId="0" applyFont="1" applyBorder="1" applyAlignment="1" applyProtection="1">
      <alignment horizontal="left" indent="1"/>
    </xf>
    <xf numFmtId="0" fontId="29" fillId="0" borderId="14" xfId="4" applyFont="1" applyFill="1" applyBorder="1" applyAlignment="1" applyProtection="1">
      <alignment horizontal="center" vertical="center"/>
    </xf>
    <xf numFmtId="0" fontId="29" fillId="0" borderId="21" xfId="4" applyFont="1" applyFill="1" applyBorder="1" applyAlignment="1" applyProtection="1">
      <alignment horizontal="center" vertical="center"/>
    </xf>
    <xf numFmtId="164" fontId="8" fillId="0" borderId="21" xfId="0" applyNumberFormat="1" applyFont="1" applyFill="1" applyBorder="1" applyAlignment="1" applyProtection="1">
      <alignment horizontal="center" wrapText="1"/>
    </xf>
    <xf numFmtId="0" fontId="27" fillId="0" borderId="6" xfId="0" applyFont="1" applyBorder="1" applyAlignment="1" applyProtection="1"/>
    <xf numFmtId="164" fontId="29" fillId="0" borderId="38" xfId="0" applyNumberFormat="1" applyFont="1" applyFill="1" applyBorder="1" applyAlignment="1" applyProtection="1">
      <alignment horizontal="center" vertical="center" wrapText="1"/>
    </xf>
    <xf numFmtId="164" fontId="20" fillId="0" borderId="38" xfId="0" applyNumberFormat="1" applyFont="1" applyFill="1" applyBorder="1" applyAlignment="1" applyProtection="1">
      <alignment horizontal="center" vertical="center" wrapText="1"/>
    </xf>
    <xf numFmtId="0" fontId="29" fillId="0" borderId="35" xfId="4" applyFont="1" applyFill="1" applyBorder="1" applyAlignment="1" applyProtection="1">
      <alignment horizontal="left" vertical="center" wrapText="1" indent="1"/>
    </xf>
    <xf numFmtId="164" fontId="29" fillId="0" borderId="38" xfId="0" applyNumberFormat="1" applyFont="1" applyFill="1" applyBorder="1" applyAlignment="1" applyProtection="1">
      <alignment horizontal="right" vertical="center" wrapText="1" indent="1"/>
    </xf>
    <xf numFmtId="49" fontId="30" fillId="0" borderId="10" xfId="0" applyNumberFormat="1" applyFont="1" applyFill="1" applyBorder="1" applyAlignment="1" applyProtection="1">
      <alignment horizontal="center" vertical="center" wrapText="1"/>
    </xf>
    <xf numFmtId="0" fontId="29" fillId="0" borderId="22" xfId="0" applyFont="1" applyFill="1" applyBorder="1" applyAlignment="1" applyProtection="1">
      <alignment horizontal="center" vertical="center" wrapText="1"/>
    </xf>
    <xf numFmtId="0" fontId="29" fillId="0" borderId="23" xfId="4" applyFont="1" applyFill="1" applyBorder="1" applyAlignment="1" applyProtection="1">
      <alignment horizontal="left" vertical="center" wrapText="1" indent="1"/>
    </xf>
    <xf numFmtId="164" fontId="22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1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4" applyNumberFormat="1" applyFont="1" applyFill="1" applyBorder="1" applyAlignment="1" applyProtection="1">
      <alignment horizontal="right" vertical="center" wrapText="1" indent="1"/>
      <protection locked="0"/>
    </xf>
    <xf numFmtId="49" fontId="29" fillId="0" borderId="22" xfId="4" applyNumberFormat="1" applyFont="1" applyFill="1" applyBorder="1" applyAlignment="1" applyProtection="1">
      <alignment horizontal="center" vertical="center" wrapText="1"/>
    </xf>
    <xf numFmtId="164" fontId="22" fillId="0" borderId="37" xfId="4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3" xfId="0" applyFont="1" applyBorder="1" applyAlignment="1" applyProtection="1">
      <alignment horizontal="left" vertical="center" indent="1"/>
      <protection locked="0"/>
    </xf>
    <xf numFmtId="164" fontId="2" fillId="0" borderId="0" xfId="0" applyNumberFormat="1" applyFont="1" applyFill="1" applyAlignment="1">
      <alignment vertical="center" wrapText="1"/>
    </xf>
    <xf numFmtId="165" fontId="2" fillId="0" borderId="0" xfId="1" applyNumberFormat="1" applyFont="1" applyFill="1" applyAlignment="1">
      <alignment vertical="center" wrapText="1"/>
    </xf>
    <xf numFmtId="165" fontId="43" fillId="0" borderId="0" xfId="1" applyNumberFormat="1" applyFont="1" applyFill="1" applyAlignment="1">
      <alignment vertical="center" wrapText="1"/>
    </xf>
    <xf numFmtId="0" fontId="43" fillId="0" borderId="0" xfId="0" applyFont="1" applyFill="1" applyAlignment="1">
      <alignment vertical="center" wrapText="1"/>
    </xf>
    <xf numFmtId="165" fontId="43" fillId="0" borderId="0" xfId="0" applyNumberFormat="1" applyFont="1" applyFill="1" applyAlignment="1">
      <alignment vertical="center" wrapText="1"/>
    </xf>
    <xf numFmtId="165" fontId="0" fillId="0" borderId="0" xfId="1" applyNumberFormat="1" applyFont="1" applyFill="1" applyAlignment="1">
      <alignment vertical="center" wrapText="1"/>
    </xf>
    <xf numFmtId="0" fontId="22" fillId="0" borderId="6" xfId="4" applyFont="1" applyFill="1" applyBorder="1" applyAlignment="1" applyProtection="1">
      <alignment horizontal="left" vertical="center" wrapText="1" indent="7"/>
    </xf>
    <xf numFmtId="0" fontId="22" fillId="0" borderId="15" xfId="5" applyFont="1" applyFill="1" applyBorder="1" applyAlignment="1" applyProtection="1">
      <alignment horizontal="left" vertical="center" indent="1"/>
    </xf>
    <xf numFmtId="0" fontId="22" fillId="0" borderId="19" xfId="5" applyFont="1" applyFill="1" applyBorder="1" applyAlignment="1" applyProtection="1">
      <alignment horizontal="left" vertical="center" wrapText="1" indent="1"/>
    </xf>
    <xf numFmtId="164" fontId="22" fillId="0" borderId="19" xfId="5" applyNumberFormat="1" applyFont="1" applyFill="1" applyBorder="1" applyAlignment="1" applyProtection="1">
      <alignment vertical="center"/>
      <protection locked="0"/>
    </xf>
    <xf numFmtId="164" fontId="22" fillId="0" borderId="20" xfId="5" applyNumberFormat="1" applyFont="1" applyFill="1" applyBorder="1" applyAlignment="1" applyProtection="1">
      <alignment vertical="center"/>
    </xf>
    <xf numFmtId="164" fontId="22" fillId="0" borderId="4" xfId="5" applyNumberFormat="1" applyFont="1" applyFill="1" applyBorder="1" applyAlignment="1" applyProtection="1">
      <alignment vertical="center"/>
      <protection locked="0"/>
    </xf>
    <xf numFmtId="0" fontId="22" fillId="0" borderId="10" xfId="5" applyFont="1" applyFill="1" applyBorder="1" applyAlignment="1" applyProtection="1">
      <alignment horizontal="left" vertical="center" indent="1"/>
    </xf>
    <xf numFmtId="0" fontId="22" fillId="0" borderId="6" xfId="5" applyFont="1" applyFill="1" applyBorder="1" applyAlignment="1" applyProtection="1">
      <alignment horizontal="left" vertical="center" indent="1"/>
    </xf>
    <xf numFmtId="164" fontId="22" fillId="0" borderId="6" xfId="5" applyNumberFormat="1" applyFont="1" applyFill="1" applyBorder="1" applyAlignment="1" applyProtection="1">
      <alignment vertical="center"/>
      <protection locked="0"/>
    </xf>
    <xf numFmtId="164" fontId="22" fillId="0" borderId="18" xfId="5" applyNumberFormat="1" applyFont="1" applyFill="1" applyBorder="1" applyAlignment="1" applyProtection="1">
      <alignment vertical="center"/>
    </xf>
    <xf numFmtId="0" fontId="28" fillId="0" borderId="33" xfId="0" applyFont="1" applyFill="1" applyBorder="1" applyAlignment="1" applyProtection="1">
      <alignment horizontal="left" vertical="center" wrapText="1"/>
      <protection locked="0"/>
    </xf>
    <xf numFmtId="164" fontId="28" fillId="0" borderId="55" xfId="0" applyNumberFormat="1" applyFont="1" applyFill="1" applyBorder="1" applyAlignment="1" applyProtection="1">
      <alignment horizontal="right" vertical="center" wrapText="1"/>
      <protection locked="0"/>
    </xf>
    <xf numFmtId="164" fontId="48" fillId="0" borderId="55" xfId="0" applyNumberFormat="1" applyFont="1" applyFill="1" applyBorder="1" applyAlignment="1" applyProtection="1">
      <alignment horizontal="right" vertical="center" wrapText="1"/>
      <protection locked="0"/>
    </xf>
    <xf numFmtId="164" fontId="49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28" fillId="0" borderId="34" xfId="0" applyFont="1" applyFill="1" applyBorder="1" applyAlignment="1" applyProtection="1">
      <alignment horizontal="left" vertical="center" wrapText="1"/>
      <protection locked="0"/>
    </xf>
    <xf numFmtId="164" fontId="3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63" xfId="0" applyFont="1" applyFill="1" applyBorder="1" applyAlignment="1" applyProtection="1">
      <alignment horizontal="left" vertical="center" wrapText="1" indent="1"/>
    </xf>
    <xf numFmtId="164" fontId="30" fillId="0" borderId="63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7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vertical="center" wrapText="1"/>
    </xf>
    <xf numFmtId="49" fontId="22" fillId="0" borderId="5" xfId="4" applyNumberFormat="1" applyFont="1" applyFill="1" applyBorder="1" applyAlignment="1" applyProtection="1">
      <alignment horizontal="left" vertical="center" wrapText="1" indent="1"/>
    </xf>
    <xf numFmtId="164" fontId="6" fillId="0" borderId="0" xfId="0" applyNumberFormat="1" applyFont="1" applyFill="1" applyAlignment="1" applyProtection="1">
      <alignment horizontal="right" shrinkToFit="1"/>
    </xf>
    <xf numFmtId="164" fontId="34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34" fillId="0" borderId="2" xfId="0" applyNumberFormat="1" applyFont="1" applyFill="1" applyBorder="1" applyAlignment="1" applyProtection="1">
      <alignment vertical="center" wrapText="1"/>
      <protection locked="0"/>
    </xf>
    <xf numFmtId="49" fontId="3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" xfId="4" applyFont="1" applyFill="1" applyBorder="1" applyAlignment="1" applyProtection="1">
      <alignment wrapText="1"/>
      <protection locked="0"/>
    </xf>
    <xf numFmtId="0" fontId="30" fillId="0" borderId="6" xfId="4" applyFont="1" applyFill="1" applyBorder="1" applyAlignment="1" applyProtection="1">
      <alignment wrapText="1"/>
      <protection locked="0"/>
    </xf>
    <xf numFmtId="0" fontId="15" fillId="0" borderId="3" xfId="4" applyFont="1" applyFill="1" applyBorder="1" applyAlignment="1" applyProtection="1">
      <alignment wrapText="1"/>
      <protection locked="0"/>
    </xf>
    <xf numFmtId="165" fontId="15" fillId="0" borderId="3" xfId="1" applyNumberFormat="1" applyFont="1" applyFill="1" applyBorder="1" applyAlignment="1" applyProtection="1">
      <alignment horizontal="center" vertical="center"/>
      <protection locked="0"/>
    </xf>
    <xf numFmtId="165" fontId="15" fillId="0" borderId="28" xfId="1" applyNumberFormat="1" applyFont="1" applyFill="1" applyBorder="1" applyAlignment="1">
      <alignment horizontal="center" vertical="center"/>
    </xf>
    <xf numFmtId="0" fontId="30" fillId="0" borderId="4" xfId="0" applyFont="1" applyBorder="1" applyAlignment="1" applyProtection="1">
      <alignment horizontal="left" vertical="center" wrapText="1" indent="1"/>
      <protection locked="0"/>
    </xf>
    <xf numFmtId="164" fontId="30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3" xfId="0" applyFont="1" applyBorder="1" applyAlignment="1" applyProtection="1">
      <alignment horizontal="left" vertical="center" wrapText="1" indent="1"/>
      <protection locked="0"/>
    </xf>
    <xf numFmtId="3" fontId="30" fillId="0" borderId="28" xfId="0" applyNumberFormat="1" applyFont="1" applyBorder="1" applyAlignment="1" applyProtection="1">
      <alignment horizontal="right" vertical="center" indent="1"/>
      <protection locked="0"/>
    </xf>
    <xf numFmtId="0" fontId="30" fillId="0" borderId="4" xfId="0" applyFont="1" applyBorder="1" applyAlignment="1" applyProtection="1">
      <alignment horizontal="left" vertical="center" indent="1"/>
      <protection locked="0"/>
    </xf>
    <xf numFmtId="165" fontId="0" fillId="0" borderId="0" xfId="0" applyNumberFormat="1" applyFill="1" applyAlignment="1">
      <alignment vertical="center" wrapText="1"/>
    </xf>
    <xf numFmtId="49" fontId="31" fillId="0" borderId="0" xfId="0" applyNumberFormat="1" applyFont="1" applyFill="1" applyBorder="1" applyAlignment="1" applyProtection="1">
      <alignment vertical="center"/>
    </xf>
    <xf numFmtId="3" fontId="30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164" fontId="22" fillId="0" borderId="10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vertical="center"/>
    </xf>
    <xf numFmtId="164" fontId="8" fillId="0" borderId="68" xfId="0" applyNumberFormat="1" applyFont="1" applyFill="1" applyBorder="1" applyAlignment="1" applyProtection="1">
      <alignment horizontal="center" vertical="center"/>
    </xf>
    <xf numFmtId="164" fontId="8" fillId="0" borderId="3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Alignment="1" applyProtection="1">
      <alignment horizontal="center" vertical="center"/>
    </xf>
    <xf numFmtId="164" fontId="20" fillId="0" borderId="44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center" vertical="center" wrapText="1"/>
    </xf>
    <xf numFmtId="164" fontId="20" fillId="0" borderId="35" xfId="0" applyNumberFormat="1" applyFont="1" applyFill="1" applyBorder="1" applyAlignment="1" applyProtection="1">
      <alignment horizontal="center" vertical="center" wrapText="1"/>
    </xf>
    <xf numFmtId="164" fontId="20" fillId="0" borderId="21" xfId="0" applyNumberFormat="1" applyFont="1" applyFill="1" applyBorder="1" applyAlignment="1" applyProtection="1">
      <alignment horizontal="center" vertical="center" wrapText="1"/>
    </xf>
    <xf numFmtId="164" fontId="20" fillId="0" borderId="27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Alignment="1" applyProtection="1">
      <alignment horizontal="center" vertical="center" wrapText="1"/>
    </xf>
    <xf numFmtId="164" fontId="20" fillId="0" borderId="13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left" vertical="center" wrapText="1" indent="1"/>
    </xf>
    <xf numFmtId="49" fontId="22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24" xfId="0" applyNumberFormat="1" applyFont="1" applyFill="1" applyBorder="1" applyAlignment="1" applyProtection="1">
      <alignment vertical="center" wrapText="1"/>
    </xf>
    <xf numFmtId="164" fontId="22" fillId="0" borderId="13" xfId="0" applyNumberFormat="1" applyFont="1" applyFill="1" applyBorder="1" applyAlignment="1" applyProtection="1">
      <alignment vertical="center" wrapText="1"/>
    </xf>
    <xf numFmtId="164" fontId="22" fillId="0" borderId="14" xfId="0" applyNumberFormat="1" applyFont="1" applyFill="1" applyBorder="1" applyAlignment="1" applyProtection="1">
      <alignment vertical="center" wrapText="1"/>
    </xf>
    <xf numFmtId="164" fontId="22" fillId="0" borderId="21" xfId="0" applyNumberFormat="1" applyFont="1" applyFill="1" applyBorder="1" applyAlignment="1" applyProtection="1">
      <alignment vertical="center" wrapText="1"/>
    </xf>
    <xf numFmtId="164" fontId="20" fillId="0" borderId="8" xfId="0" applyNumberFormat="1" applyFont="1" applyFill="1" applyBorder="1" applyAlignment="1" applyProtection="1">
      <alignment horizontal="center" vertical="center" wrapText="1"/>
    </xf>
    <xf numFmtId="164" fontId="22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49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25" xfId="0" applyNumberFormat="1" applyFont="1" applyFill="1" applyBorder="1" applyAlignment="1" applyProtection="1">
      <alignment vertical="center" wrapText="1"/>
      <protection locked="0"/>
    </xf>
    <xf numFmtId="164" fontId="22" fillId="0" borderId="8" xfId="0" applyNumberFormat="1" applyFont="1" applyFill="1" applyBorder="1" applyAlignment="1" applyProtection="1">
      <alignment vertical="center" wrapText="1"/>
      <protection locked="0"/>
    </xf>
    <xf numFmtId="164" fontId="22" fillId="0" borderId="16" xfId="0" applyNumberFormat="1" applyFont="1" applyFill="1" applyBorder="1" applyAlignment="1" applyProtection="1">
      <alignment vertical="center" wrapText="1"/>
      <protection locked="0"/>
    </xf>
    <xf numFmtId="164" fontId="22" fillId="0" borderId="25" xfId="0" applyNumberFormat="1" applyFont="1" applyFill="1" applyBorder="1" applyAlignment="1" applyProtection="1">
      <alignment vertical="center" wrapText="1"/>
    </xf>
    <xf numFmtId="49" fontId="15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61" xfId="0" applyNumberFormat="1" applyFont="1" applyFill="1" applyBorder="1" applyAlignment="1" applyProtection="1">
      <alignment horizontal="center" vertical="center" wrapText="1"/>
    </xf>
    <xf numFmtId="49" fontId="15" fillId="0" borderId="26" xfId="6" applyNumberFormat="1" applyFont="1" applyFill="1" applyBorder="1" applyAlignment="1" applyProtection="1">
      <alignment horizontal="center" vertical="center" wrapText="1"/>
      <protection locked="0"/>
    </xf>
    <xf numFmtId="164" fontId="22" fillId="0" borderId="69" xfId="0" applyNumberFormat="1" applyFont="1" applyFill="1" applyBorder="1" applyAlignment="1" applyProtection="1">
      <alignment vertical="center" wrapText="1"/>
      <protection locked="0"/>
    </xf>
    <xf numFmtId="164" fontId="22" fillId="0" borderId="11" xfId="0" applyNumberFormat="1" applyFont="1" applyFill="1" applyBorder="1" applyAlignment="1" applyProtection="1">
      <alignment vertical="center" wrapText="1"/>
      <protection locked="0"/>
    </xf>
    <xf numFmtId="164" fontId="22" fillId="0" borderId="4" xfId="0" applyNumberFormat="1" applyFont="1" applyFill="1" applyBorder="1" applyAlignment="1" applyProtection="1">
      <alignment vertical="center" wrapText="1"/>
      <protection locked="0"/>
    </xf>
    <xf numFmtId="164" fontId="22" fillId="0" borderId="20" xfId="0" applyNumberFormat="1" applyFont="1" applyFill="1" applyBorder="1" applyAlignment="1" applyProtection="1">
      <alignment vertical="center" wrapText="1"/>
      <protection locked="0"/>
    </xf>
    <xf numFmtId="164" fontId="22" fillId="0" borderId="61" xfId="0" applyNumberFormat="1" applyFont="1" applyFill="1" applyBorder="1" applyAlignment="1" applyProtection="1">
      <alignment vertical="center" wrapText="1"/>
    </xf>
    <xf numFmtId="164" fontId="20" fillId="0" borderId="26" xfId="0" applyNumberFormat="1" applyFont="1" applyFill="1" applyBorder="1" applyAlignment="1" applyProtection="1">
      <alignment horizontal="center" vertical="center" wrapText="1"/>
    </xf>
    <xf numFmtId="164" fontId="22" fillId="0" borderId="9" xfId="0" applyNumberFormat="1" applyFont="1" applyFill="1" applyBorder="1" applyAlignment="1" applyProtection="1">
      <alignment vertical="center" wrapText="1"/>
      <protection locked="0"/>
    </xf>
    <xf numFmtId="164" fontId="22" fillId="0" borderId="3" xfId="0" applyNumberFormat="1" applyFont="1" applyFill="1" applyBorder="1" applyAlignment="1" applyProtection="1">
      <alignment vertical="center" wrapText="1"/>
      <protection locked="0"/>
    </xf>
    <xf numFmtId="164" fontId="22" fillId="0" borderId="28" xfId="0" applyNumberFormat="1" applyFont="1" applyFill="1" applyBorder="1" applyAlignment="1" applyProtection="1">
      <alignment vertical="center" wrapText="1"/>
      <protection locked="0"/>
    </xf>
    <xf numFmtId="164" fontId="22" fillId="0" borderId="26" xfId="0" applyNumberFormat="1" applyFont="1" applyFill="1" applyBorder="1" applyAlignment="1" applyProtection="1">
      <alignment vertical="center" wrapText="1"/>
    </xf>
    <xf numFmtId="164" fontId="20" fillId="0" borderId="25" xfId="0" applyNumberFormat="1" applyFont="1" applyFill="1" applyBorder="1" applyAlignment="1" applyProtection="1">
      <alignment horizontal="center" vertical="center" wrapText="1"/>
    </xf>
    <xf numFmtId="49" fontId="15" fillId="0" borderId="25" xfId="6" applyNumberFormat="1" applyFont="1" applyFill="1" applyBorder="1" applyAlignment="1" applyProtection="1">
      <alignment horizontal="center" vertical="center" wrapText="1"/>
      <protection locked="0"/>
    </xf>
    <xf numFmtId="164" fontId="20" fillId="0" borderId="60" xfId="0" applyNumberFormat="1" applyFont="1" applyFill="1" applyBorder="1" applyAlignment="1" applyProtection="1">
      <alignment horizontal="center" vertical="center" wrapText="1"/>
    </xf>
    <xf numFmtId="49" fontId="15" fillId="0" borderId="6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9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64" fontId="22" fillId="0" borderId="70" xfId="0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1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70" xfId="0" applyNumberFormat="1" applyFont="1" applyFill="1" applyBorder="1" applyAlignment="1" applyProtection="1">
      <alignment vertical="center" wrapText="1"/>
      <protection locked="0"/>
    </xf>
    <xf numFmtId="164" fontId="22" fillId="0" borderId="10" xfId="0" applyNumberFormat="1" applyFont="1" applyFill="1" applyBorder="1" applyAlignment="1" applyProtection="1">
      <alignment vertical="center" wrapText="1"/>
      <protection locked="0"/>
    </xf>
    <xf numFmtId="164" fontId="22" fillId="0" borderId="18" xfId="0" applyNumberFormat="1" applyFont="1" applyFill="1" applyBorder="1" applyAlignment="1" applyProtection="1">
      <alignment vertical="center" wrapText="1"/>
      <protection locked="0"/>
    </xf>
    <xf numFmtId="164" fontId="22" fillId="0" borderId="70" xfId="0" applyNumberFormat="1" applyFont="1" applyFill="1" applyBorder="1" applyAlignment="1" applyProtection="1">
      <alignment vertical="center" wrapText="1"/>
    </xf>
    <xf numFmtId="164" fontId="29" fillId="0" borderId="24" xfId="0" applyNumberFormat="1" applyFont="1" applyFill="1" applyBorder="1" applyAlignment="1" applyProtection="1">
      <alignment horizontal="left" vertical="center" wrapText="1" indent="1"/>
    </xf>
    <xf numFmtId="164" fontId="20" fillId="0" borderId="7" xfId="0" applyNumberFormat="1" applyFont="1" applyFill="1" applyBorder="1" applyAlignment="1" applyProtection="1">
      <alignment horizontal="center" vertical="center" wrapText="1"/>
    </xf>
    <xf numFmtId="164" fontId="22" fillId="0" borderId="26" xfId="0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5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27" xfId="0" applyNumberFormat="1" applyFont="1" applyFill="1" applyBorder="1" applyAlignment="1" applyProtection="1">
      <alignment vertical="center" wrapText="1"/>
      <protection locked="0"/>
    </xf>
    <xf numFmtId="164" fontId="22" fillId="0" borderId="7" xfId="0" applyNumberFormat="1" applyFont="1" applyFill="1" applyBorder="1" applyAlignment="1" applyProtection="1">
      <alignment vertical="center" wrapText="1"/>
      <protection locked="0"/>
    </xf>
    <xf numFmtId="164" fontId="22" fillId="0" borderId="1" xfId="0" applyNumberFormat="1" applyFont="1" applyFill="1" applyBorder="1" applyAlignment="1" applyProtection="1">
      <alignment vertical="center" wrapText="1"/>
      <protection locked="0"/>
    </xf>
    <xf numFmtId="164" fontId="22" fillId="0" borderId="17" xfId="0" applyNumberFormat="1" applyFont="1" applyFill="1" applyBorder="1" applyAlignment="1" applyProtection="1">
      <alignment vertical="center" wrapText="1"/>
      <protection locked="0"/>
    </xf>
    <xf numFmtId="164" fontId="22" fillId="0" borderId="27" xfId="0" applyNumberFormat="1" applyFont="1" applyFill="1" applyBorder="1" applyAlignment="1" applyProtection="1">
      <alignment vertical="center" wrapText="1"/>
    </xf>
    <xf numFmtId="164" fontId="15" fillId="2" borderId="35" xfId="0" applyNumberFormat="1" applyFont="1" applyFill="1" applyBorder="1" applyAlignment="1" applyProtection="1">
      <alignment horizontal="left" vertical="center" wrapText="1" indent="2"/>
    </xf>
    <xf numFmtId="164" fontId="15" fillId="2" borderId="45" xfId="0" applyNumberFormat="1" applyFont="1" applyFill="1" applyBorder="1" applyAlignment="1" applyProtection="1">
      <alignment horizontal="left" vertical="center" wrapText="1" indent="2"/>
    </xf>
    <xf numFmtId="49" fontId="15" fillId="0" borderId="36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60" xfId="0" applyNumberFormat="1" applyFont="1" applyFill="1" applyBorder="1" applyAlignment="1" applyProtection="1">
      <alignment horizontal="left" vertical="center" wrapText="1" indent="1"/>
    </xf>
    <xf numFmtId="164" fontId="22" fillId="0" borderId="60" xfId="0" applyNumberFormat="1" applyFont="1" applyFill="1" applyBorder="1" applyAlignment="1" applyProtection="1">
      <alignment vertical="center" wrapText="1"/>
    </xf>
    <xf numFmtId="164" fontId="22" fillId="0" borderId="22" xfId="0" applyNumberFormat="1" applyFont="1" applyFill="1" applyBorder="1" applyAlignment="1" applyProtection="1">
      <alignment vertical="center" wrapText="1"/>
    </xf>
    <xf numFmtId="164" fontId="22" fillId="0" borderId="23" xfId="0" applyNumberFormat="1" applyFont="1" applyFill="1" applyBorder="1" applyAlignment="1" applyProtection="1">
      <alignment vertical="center" wrapText="1"/>
    </xf>
    <xf numFmtId="164" fontId="22" fillId="0" borderId="38" xfId="0" applyNumberFormat="1" applyFont="1" applyFill="1" applyBorder="1" applyAlignment="1" applyProtection="1">
      <alignment vertical="center" wrapText="1"/>
    </xf>
    <xf numFmtId="164" fontId="22" fillId="0" borderId="61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5" xfId="6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6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1" xfId="6" applyNumberFormat="1" applyFont="1" applyFill="1" applyBorder="1" applyAlignment="1" applyProtection="1">
      <alignment horizontal="center" vertical="center" wrapText="1"/>
      <protection locked="0"/>
    </xf>
    <xf numFmtId="164" fontId="22" fillId="0" borderId="36" xfId="0" applyNumberFormat="1" applyFont="1" applyFill="1" applyBorder="1" applyAlignment="1" applyProtection="1">
      <alignment vertical="center" wrapText="1"/>
    </xf>
    <xf numFmtId="164" fontId="30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4" xfId="4" applyFont="1" applyFill="1" applyBorder="1" applyAlignment="1" applyProtection="1">
      <alignment horizontal="left" vertical="center" wrapText="1" indent="1"/>
    </xf>
    <xf numFmtId="164" fontId="30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49" fontId="30" fillId="0" borderId="12" xfId="0" applyNumberFormat="1" applyFont="1" applyFill="1" applyBorder="1" applyAlignment="1" applyProtection="1">
      <alignment horizontal="center" vertical="center" wrapText="1"/>
    </xf>
    <xf numFmtId="164" fontId="7" fillId="0" borderId="0" xfId="4" applyNumberFormat="1" applyFont="1" applyFill="1" applyBorder="1" applyAlignment="1" applyProtection="1">
      <alignment horizontal="center" vertical="center"/>
    </xf>
    <xf numFmtId="164" fontId="37" fillId="0" borderId="36" xfId="4" applyNumberFormat="1" applyFont="1" applyFill="1" applyBorder="1" applyAlignment="1" applyProtection="1">
      <alignment horizontal="left" vertical="center"/>
    </xf>
    <xf numFmtId="164" fontId="37" fillId="0" borderId="36" xfId="4" applyNumberFormat="1" applyFont="1" applyFill="1" applyBorder="1" applyAlignment="1" applyProtection="1">
      <alignment horizontal="left"/>
    </xf>
    <xf numFmtId="0" fontId="24" fillId="0" borderId="0" xfId="4" applyFont="1" applyFill="1" applyAlignment="1" applyProtection="1">
      <alignment horizontal="center"/>
    </xf>
    <xf numFmtId="164" fontId="31" fillId="0" borderId="59" xfId="0" applyNumberFormat="1" applyFont="1" applyFill="1" applyBorder="1" applyAlignment="1" applyProtection="1">
      <alignment horizontal="center" vertical="center" wrapText="1"/>
    </xf>
    <xf numFmtId="164" fontId="31" fillId="0" borderId="60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Alignment="1" applyProtection="1">
      <alignment horizontal="center" textRotation="180" wrapText="1"/>
    </xf>
    <xf numFmtId="164" fontId="50" fillId="0" borderId="53" xfId="0" applyNumberFormat="1" applyFont="1" applyFill="1" applyBorder="1" applyAlignment="1" applyProtection="1">
      <alignment horizontal="center" vertical="center" wrapText="1"/>
    </xf>
    <xf numFmtId="164" fontId="31" fillId="0" borderId="61" xfId="0" applyNumberFormat="1" applyFont="1" applyFill="1" applyBorder="1" applyAlignment="1" applyProtection="1">
      <alignment horizontal="center" vertical="center" wrapText="1"/>
    </xf>
    <xf numFmtId="164" fontId="31" fillId="0" borderId="62" xfId="0" applyNumberFormat="1" applyFont="1" applyFill="1" applyBorder="1" applyAlignment="1" applyProtection="1">
      <alignment horizontal="center" vertical="center" wrapText="1"/>
    </xf>
    <xf numFmtId="164" fontId="5" fillId="0" borderId="0" xfId="4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right"/>
    </xf>
    <xf numFmtId="0" fontId="32" fillId="0" borderId="20" xfId="4" applyFont="1" applyFill="1" applyBorder="1" applyAlignment="1">
      <alignment horizontal="center" vertical="center" wrapText="1"/>
    </xf>
    <xf numFmtId="0" fontId="32" fillId="0" borderId="18" xfId="4" applyFont="1" applyFill="1" applyBorder="1" applyAlignment="1">
      <alignment horizontal="center" vertical="center" wrapText="1"/>
    </xf>
    <xf numFmtId="0" fontId="32" fillId="0" borderId="11" xfId="4" applyFont="1" applyFill="1" applyBorder="1" applyAlignment="1">
      <alignment horizontal="center" vertical="center" wrapText="1"/>
    </xf>
    <xf numFmtId="0" fontId="32" fillId="0" borderId="10" xfId="4" applyFont="1" applyFill="1" applyBorder="1" applyAlignment="1">
      <alignment horizontal="center" vertical="center" wrapText="1"/>
    </xf>
    <xf numFmtId="0" fontId="32" fillId="0" borderId="4" xfId="4" applyFont="1" applyFill="1" applyBorder="1" applyAlignment="1">
      <alignment horizontal="center" vertical="center" wrapText="1"/>
    </xf>
    <xf numFmtId="0" fontId="32" fillId="0" borderId="6" xfId="4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right"/>
    </xf>
    <xf numFmtId="0" fontId="31" fillId="0" borderId="13" xfId="4" applyFont="1" applyFill="1" applyBorder="1" applyAlignment="1" applyProtection="1">
      <alignment horizontal="left"/>
    </xf>
    <xf numFmtId="0" fontId="31" fillId="0" borderId="14" xfId="4" applyFont="1" applyFill="1" applyBorder="1" applyAlignment="1" applyProtection="1">
      <alignment horizontal="left"/>
    </xf>
    <xf numFmtId="0" fontId="22" fillId="0" borderId="53" xfId="4" applyFont="1" applyFill="1" applyBorder="1" applyAlignment="1">
      <alignment horizontal="justify" vertical="center" wrapText="1"/>
    </xf>
    <xf numFmtId="164" fontId="24" fillId="0" borderId="0" xfId="0" applyNumberFormat="1" applyFont="1" applyFill="1" applyAlignment="1">
      <alignment horizontal="center" vertical="center" wrapText="1"/>
    </xf>
    <xf numFmtId="0" fontId="32" fillId="0" borderId="0" xfId="0" applyFont="1" applyFill="1" applyAlignment="1" applyProtection="1">
      <alignment horizontal="center" vertical="center" wrapText="1"/>
    </xf>
    <xf numFmtId="0" fontId="33" fillId="0" borderId="36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>
      <alignment horizontal="center" wrapText="1"/>
    </xf>
    <xf numFmtId="164" fontId="18" fillId="0" borderId="50" xfId="0" applyNumberFormat="1" applyFont="1" applyFill="1" applyBorder="1" applyAlignment="1" applyProtection="1">
      <alignment horizontal="center" textRotation="180" wrapText="1"/>
    </xf>
    <xf numFmtId="164" fontId="18" fillId="0" borderId="0" xfId="0" applyNumberFormat="1" applyFont="1" applyFill="1" applyBorder="1" applyAlignment="1" applyProtection="1">
      <alignment horizontal="center" textRotation="180" wrapText="1"/>
    </xf>
    <xf numFmtId="164" fontId="8" fillId="0" borderId="44" xfId="0" applyNumberFormat="1" applyFont="1" applyFill="1" applyBorder="1" applyAlignment="1" applyProtection="1">
      <alignment horizontal="left" vertical="center" wrapText="1" indent="2"/>
    </xf>
    <xf numFmtId="164" fontId="8" fillId="0" borderId="37" xfId="0" applyNumberFormat="1" applyFont="1" applyFill="1" applyBorder="1" applyAlignment="1" applyProtection="1">
      <alignment horizontal="left" vertical="center" wrapText="1" indent="2"/>
    </xf>
    <xf numFmtId="164" fontId="24" fillId="0" borderId="0" xfId="0" applyNumberFormat="1" applyFont="1" applyFill="1" applyAlignment="1" applyProtection="1">
      <alignment horizontal="center" vertical="center" wrapText="1"/>
    </xf>
    <xf numFmtId="164" fontId="8" fillId="0" borderId="59" xfId="0" applyNumberFormat="1" applyFont="1" applyFill="1" applyBorder="1" applyAlignment="1" applyProtection="1">
      <alignment horizontal="center" vertical="center" wrapText="1"/>
    </xf>
    <xf numFmtId="164" fontId="8" fillId="0" borderId="60" xfId="0" applyNumberFormat="1" applyFont="1" applyFill="1" applyBorder="1" applyAlignment="1" applyProtection="1">
      <alignment horizontal="center" vertical="center" wrapText="1"/>
    </xf>
    <xf numFmtId="164" fontId="8" fillId="0" borderId="59" xfId="0" applyNumberFormat="1" applyFont="1" applyFill="1" applyBorder="1" applyAlignment="1" applyProtection="1">
      <alignment horizontal="center" vertical="center"/>
    </xf>
    <xf numFmtId="164" fontId="8" fillId="0" borderId="60" xfId="0" applyNumberFormat="1" applyFont="1" applyFill="1" applyBorder="1" applyAlignment="1" applyProtection="1">
      <alignment horizontal="center" vertical="center"/>
    </xf>
    <xf numFmtId="164" fontId="8" fillId="0" borderId="65" xfId="0" applyNumberFormat="1" applyFont="1" applyFill="1" applyBorder="1" applyAlignment="1" applyProtection="1">
      <alignment horizontal="center" vertical="center" wrapText="1"/>
    </xf>
    <xf numFmtId="164" fontId="8" fillId="0" borderId="67" xfId="0" applyNumberFormat="1" applyFont="1" applyFill="1" applyBorder="1" applyAlignment="1" applyProtection="1">
      <alignment horizontal="center" vertical="center"/>
    </xf>
    <xf numFmtId="164" fontId="8" fillId="0" borderId="56" xfId="0" applyNumberFormat="1" applyFont="1" applyFill="1" applyBorder="1" applyAlignment="1" applyProtection="1">
      <alignment horizontal="center" vertical="center"/>
    </xf>
    <xf numFmtId="164" fontId="8" fillId="0" borderId="66" xfId="0" applyNumberFormat="1" applyFont="1" applyFill="1" applyBorder="1" applyAlignment="1" applyProtection="1">
      <alignment horizontal="center" vertical="center"/>
    </xf>
    <xf numFmtId="164" fontId="8" fillId="0" borderId="51" xfId="0" applyNumberFormat="1" applyFont="1" applyFill="1" applyBorder="1" applyAlignment="1" applyProtection="1">
      <alignment horizontal="center" vertical="center"/>
    </xf>
    <xf numFmtId="0" fontId="30" fillId="0" borderId="53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 wrapText="1"/>
    </xf>
    <xf numFmtId="0" fontId="21" fillId="0" borderId="64" xfId="5" applyFont="1" applyFill="1" applyBorder="1" applyAlignment="1" applyProtection="1">
      <alignment horizontal="left" vertical="center" indent="1"/>
    </xf>
    <xf numFmtId="0" fontId="21" fillId="0" borderId="53" xfId="5" applyFont="1" applyFill="1" applyBorder="1" applyAlignment="1" applyProtection="1">
      <alignment horizontal="left" vertical="center" indent="1"/>
    </xf>
    <xf numFmtId="0" fontId="21" fillId="0" borderId="57" xfId="5" applyFont="1" applyFill="1" applyBorder="1" applyAlignment="1" applyProtection="1">
      <alignment horizontal="left" vertical="center" indent="1"/>
    </xf>
    <xf numFmtId="0" fontId="21" fillId="0" borderId="35" xfId="5" applyFont="1" applyFill="1" applyBorder="1" applyAlignment="1" applyProtection="1">
      <alignment horizontal="left" vertical="center" indent="1"/>
    </xf>
    <xf numFmtId="0" fontId="21" fillId="0" borderId="45" xfId="5" applyFont="1" applyFill="1" applyBorder="1" applyAlignment="1" applyProtection="1">
      <alignment horizontal="left" vertical="center" indent="1"/>
    </xf>
    <xf numFmtId="0" fontId="21" fillId="0" borderId="37" xfId="5" applyFont="1" applyFill="1" applyBorder="1" applyAlignment="1" applyProtection="1">
      <alignment horizontal="left" vertical="center" indent="1"/>
    </xf>
    <xf numFmtId="0" fontId="24" fillId="0" borderId="0" xfId="5" applyFont="1" applyFill="1" applyAlignment="1" applyProtection="1">
      <alignment horizontal="center" wrapText="1"/>
    </xf>
    <xf numFmtId="0" fontId="24" fillId="0" borderId="0" xfId="5" applyFont="1" applyFill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/>
    </xf>
    <xf numFmtId="0" fontId="18" fillId="0" borderId="50" xfId="0" applyFont="1" applyFill="1" applyBorder="1" applyAlignment="1">
      <alignment horizontal="center" textRotation="180"/>
    </xf>
    <xf numFmtId="0" fontId="37" fillId="0" borderId="0" xfId="0" applyFont="1" applyAlignment="1" applyProtection="1">
      <alignment horizontal="right"/>
    </xf>
    <xf numFmtId="0" fontId="31" fillId="0" borderId="44" xfId="0" applyFont="1" applyBorder="1" applyAlignment="1" applyProtection="1">
      <alignment horizontal="left" vertical="center" indent="2"/>
    </xf>
    <xf numFmtId="0" fontId="31" fillId="0" borderId="43" xfId="0" applyFont="1" applyBorder="1" applyAlignment="1" applyProtection="1">
      <alignment horizontal="left" vertical="center" indent="2"/>
    </xf>
    <xf numFmtId="0" fontId="24" fillId="0" borderId="0" xfId="0" applyFont="1" applyAlignment="1">
      <alignment horizontal="center" wrapText="1"/>
    </xf>
  </cellXfs>
  <cellStyles count="7">
    <cellStyle name="Ezres" xfId="1" builtinId="3"/>
    <cellStyle name="Hiperhivatkozás" xfId="2"/>
    <cellStyle name="Már látott hiperhivatkozás" xfId="3"/>
    <cellStyle name="Normál" xfId="0" builtinId="0"/>
    <cellStyle name="Normál 2" xfId="6"/>
    <cellStyle name="Normál_KVRENMUNKA" xfId="4"/>
    <cellStyle name="Normál_SEGEDLETEK" xfId="5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16"/>
  <sheetViews>
    <sheetView view="pageBreakPreview" zoomScale="60" zoomScaleNormal="100" workbookViewId="0">
      <selection activeCell="A6" sqref="A6"/>
    </sheetView>
  </sheetViews>
  <sheetFormatPr defaultRowHeight="12.75" x14ac:dyDescent="0.2"/>
  <cols>
    <col min="1" max="1" width="48.5" customWidth="1"/>
    <col min="2" max="2" width="73.5" customWidth="1"/>
    <col min="3" max="3" width="16.83203125" customWidth="1"/>
  </cols>
  <sheetData>
    <row r="2" spans="1:2" x14ac:dyDescent="0.2">
      <c r="A2" t="s">
        <v>144</v>
      </c>
    </row>
    <row r="4" spans="1:2" x14ac:dyDescent="0.2">
      <c r="A4" s="142"/>
      <c r="B4" s="142"/>
    </row>
    <row r="5" spans="1:2" s="154" customFormat="1" ht="15.75" x14ac:dyDescent="0.25">
      <c r="A5" s="89" t="s">
        <v>653</v>
      </c>
      <c r="B5" s="153"/>
    </row>
    <row r="6" spans="1:2" x14ac:dyDescent="0.2">
      <c r="A6" s="142"/>
      <c r="B6" s="142"/>
    </row>
    <row r="7" spans="1:2" x14ac:dyDescent="0.2">
      <c r="A7" s="142" t="s">
        <v>532</v>
      </c>
      <c r="B7" s="142" t="s">
        <v>478</v>
      </c>
    </row>
    <row r="8" spans="1:2" x14ac:dyDescent="0.2">
      <c r="A8" s="142" t="s">
        <v>533</v>
      </c>
      <c r="B8" s="142" t="s">
        <v>479</v>
      </c>
    </row>
    <row r="9" spans="1:2" x14ac:dyDescent="0.2">
      <c r="A9" s="142" t="s">
        <v>534</v>
      </c>
      <c r="B9" s="142" t="s">
        <v>480</v>
      </c>
    </row>
    <row r="10" spans="1:2" x14ac:dyDescent="0.2">
      <c r="A10" s="142"/>
      <c r="B10" s="142"/>
    </row>
    <row r="11" spans="1:2" x14ac:dyDescent="0.2">
      <c r="A11" s="142"/>
      <c r="B11" s="142"/>
    </row>
    <row r="12" spans="1:2" s="154" customFormat="1" ht="15.75" x14ac:dyDescent="0.25">
      <c r="A12" s="89" t="str">
        <f>+CONCATENATE(LEFT(A5,4),". évi előirányzat KIADÁSOK")</f>
        <v>2019. évi előirányzat KIADÁSOK</v>
      </c>
      <c r="B12" s="153"/>
    </row>
    <row r="13" spans="1:2" x14ac:dyDescent="0.2">
      <c r="A13" s="142"/>
      <c r="B13" s="142"/>
    </row>
    <row r="14" spans="1:2" x14ac:dyDescent="0.2">
      <c r="A14" s="142" t="s">
        <v>535</v>
      </c>
      <c r="B14" s="142" t="s">
        <v>481</v>
      </c>
    </row>
    <row r="15" spans="1:2" x14ac:dyDescent="0.2">
      <c r="A15" s="142" t="s">
        <v>536</v>
      </c>
      <c r="B15" s="142" t="s">
        <v>482</v>
      </c>
    </row>
    <row r="16" spans="1:2" x14ac:dyDescent="0.2">
      <c r="A16" s="142" t="s">
        <v>537</v>
      </c>
      <c r="B16" s="142" t="s">
        <v>483</v>
      </c>
    </row>
  </sheetData>
  <phoneticPr fontId="30" type="noConversion"/>
  <pageMargins left="1.0629921259842521" right="1.0236220472440944" top="0.78740157480314965" bottom="0.78740157480314965" header="0.70866141732283472" footer="0.7086614173228347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2"/>
  <sheetViews>
    <sheetView view="pageLayout" zoomScaleNormal="120" workbookViewId="0">
      <selection activeCell="C6" sqref="C6"/>
    </sheetView>
  </sheetViews>
  <sheetFormatPr defaultColWidth="9.33203125" defaultRowHeight="15" x14ac:dyDescent="0.25"/>
  <cols>
    <col min="1" max="1" width="5.6640625" style="156" customWidth="1"/>
    <col min="2" max="2" width="68.6640625" style="156" customWidth="1"/>
    <col min="3" max="3" width="19.5" style="156" customWidth="1"/>
    <col min="4" max="16384" width="9.33203125" style="156"/>
  </cols>
  <sheetData>
    <row r="1" spans="1:4" ht="33" customHeight="1" x14ac:dyDescent="0.25">
      <c r="A1" s="685" t="s">
        <v>553</v>
      </c>
      <c r="B1" s="685"/>
      <c r="C1" s="685"/>
    </row>
    <row r="2" spans="1:4" ht="15.95" customHeight="1" thickBot="1" x14ac:dyDescent="0.3">
      <c r="A2" s="157"/>
      <c r="B2" s="157"/>
      <c r="C2" s="167" t="s">
        <v>52</v>
      </c>
      <c r="D2" s="163"/>
    </row>
    <row r="3" spans="1:4" ht="26.25" customHeight="1" thickBot="1" x14ac:dyDescent="0.3">
      <c r="A3" s="184" t="s">
        <v>13</v>
      </c>
      <c r="B3" s="185" t="s">
        <v>185</v>
      </c>
      <c r="C3" s="186" t="str">
        <f>+'1.1.sz.mell.'!C3</f>
        <v>2019. évi előirányzat</v>
      </c>
    </row>
    <row r="4" spans="1:4" ht="15.75" thickBot="1" x14ac:dyDescent="0.3">
      <c r="A4" s="187"/>
      <c r="B4" s="523" t="s">
        <v>484</v>
      </c>
      <c r="C4" s="524" t="s">
        <v>485</v>
      </c>
    </row>
    <row r="5" spans="1:4" x14ac:dyDescent="0.25">
      <c r="A5" s="188" t="s">
        <v>15</v>
      </c>
      <c r="B5" s="356" t="s">
        <v>490</v>
      </c>
      <c r="C5" s="353">
        <v>107125</v>
      </c>
    </row>
    <row r="6" spans="1:4" ht="24.75" x14ac:dyDescent="0.25">
      <c r="A6" s="189" t="s">
        <v>16</v>
      </c>
      <c r="B6" s="392" t="s">
        <v>236</v>
      </c>
      <c r="C6" s="354">
        <v>0</v>
      </c>
    </row>
    <row r="7" spans="1:4" x14ac:dyDescent="0.25">
      <c r="A7" s="189" t="s">
        <v>17</v>
      </c>
      <c r="B7" s="393" t="s">
        <v>491</v>
      </c>
      <c r="C7" s="354"/>
    </row>
    <row r="8" spans="1:4" ht="24.75" x14ac:dyDescent="0.25">
      <c r="A8" s="189" t="s">
        <v>18</v>
      </c>
      <c r="B8" s="393" t="s">
        <v>238</v>
      </c>
      <c r="C8" s="354">
        <v>57540</v>
      </c>
    </row>
    <row r="9" spans="1:4" x14ac:dyDescent="0.25">
      <c r="A9" s="190" t="s">
        <v>19</v>
      </c>
      <c r="B9" s="393" t="s">
        <v>237</v>
      </c>
      <c r="C9" s="355">
        <v>1400</v>
      </c>
    </row>
    <row r="10" spans="1:4" ht="15.75" thickBot="1" x14ac:dyDescent="0.3">
      <c r="A10" s="189" t="s">
        <v>20</v>
      </c>
      <c r="B10" s="394" t="s">
        <v>492</v>
      </c>
      <c r="C10" s="354"/>
    </row>
    <row r="11" spans="1:4" ht="15.75" thickBot="1" x14ac:dyDescent="0.3">
      <c r="A11" s="694" t="s">
        <v>188</v>
      </c>
      <c r="B11" s="695"/>
      <c r="C11" s="191">
        <f>SUM(C5:C10)</f>
        <v>166065</v>
      </c>
    </row>
    <row r="12" spans="1:4" ht="23.25" customHeight="1" x14ac:dyDescent="0.25">
      <c r="A12" s="696" t="s">
        <v>211</v>
      </c>
      <c r="B12" s="696"/>
      <c r="C12" s="696"/>
    </row>
  </sheetData>
  <mergeCells count="3">
    <mergeCell ref="A1:C1"/>
    <mergeCell ref="A11:B11"/>
    <mergeCell ref="A12:C12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4. melléklet a .../2019. (.....)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"/>
  <sheetViews>
    <sheetView view="pageLayout" zoomScaleNormal="120" workbookViewId="0">
      <selection activeCell="C6" sqref="C6"/>
    </sheetView>
  </sheetViews>
  <sheetFormatPr defaultColWidth="9.33203125" defaultRowHeight="15" x14ac:dyDescent="0.25"/>
  <cols>
    <col min="1" max="1" width="5.6640625" style="156" customWidth="1"/>
    <col min="2" max="2" width="66.83203125" style="156" customWidth="1"/>
    <col min="3" max="3" width="27" style="156" customWidth="1"/>
    <col min="4" max="16384" width="9.33203125" style="156"/>
  </cols>
  <sheetData>
    <row r="1" spans="1:4" ht="33" customHeight="1" x14ac:dyDescent="0.25">
      <c r="A1" s="685" t="str">
        <f>+CONCATENATE("Ibrány Város Önkormányzata ",CONCATENATE(LEFT(ÖSSZEFÜGGÉSEK!A5,4),". évi adósságot keletkeztető fejlesztési céljai"))</f>
        <v>Ibrány Város Önkormányzata 2019. évi adósságot keletkeztető fejlesztési céljai</v>
      </c>
      <c r="B1" s="685"/>
      <c r="C1" s="685"/>
    </row>
    <row r="2" spans="1:4" ht="15.95" customHeight="1" thickBot="1" x14ac:dyDescent="0.3">
      <c r="A2" s="157"/>
      <c r="B2" s="157"/>
      <c r="C2" s="167" t="s">
        <v>52</v>
      </c>
      <c r="D2" s="163"/>
    </row>
    <row r="3" spans="1:4" ht="26.25" customHeight="1" thickBot="1" x14ac:dyDescent="0.3">
      <c r="A3" s="184" t="s">
        <v>13</v>
      </c>
      <c r="B3" s="185" t="s">
        <v>189</v>
      </c>
      <c r="C3" s="186" t="s">
        <v>210</v>
      </c>
    </row>
    <row r="4" spans="1:4" ht="15.75" thickBot="1" x14ac:dyDescent="0.3">
      <c r="A4" s="187"/>
      <c r="B4" s="523" t="s">
        <v>484</v>
      </c>
      <c r="C4" s="524" t="s">
        <v>485</v>
      </c>
    </row>
    <row r="5" spans="1:4" x14ac:dyDescent="0.25">
      <c r="A5" s="188" t="s">
        <v>15</v>
      </c>
      <c r="B5" s="575"/>
      <c r="C5" s="192"/>
    </row>
    <row r="6" spans="1:4" x14ac:dyDescent="0.25">
      <c r="A6" s="189" t="s">
        <v>16</v>
      </c>
      <c r="B6" s="576"/>
      <c r="C6" s="193"/>
    </row>
    <row r="7" spans="1:4" ht="15.75" thickBot="1" x14ac:dyDescent="0.3">
      <c r="A7" s="190" t="s">
        <v>17</v>
      </c>
      <c r="B7" s="576"/>
      <c r="C7" s="194"/>
    </row>
    <row r="8" spans="1:4" s="480" customFormat="1" ht="17.25" customHeight="1" thickBot="1" x14ac:dyDescent="0.25">
      <c r="A8" s="481" t="s">
        <v>18</v>
      </c>
      <c r="B8" s="139" t="s">
        <v>190</v>
      </c>
      <c r="C8" s="191">
        <f>SUM(C5:C7)</f>
        <v>0</v>
      </c>
    </row>
  </sheetData>
  <mergeCells count="1">
    <mergeCell ref="A1:C1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5. melléklet a ..../2019. (.....)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6"/>
  <sheetViews>
    <sheetView view="pageLayout" zoomScaleNormal="100" workbookViewId="0">
      <selection activeCell="A3" sqref="A3:F3"/>
    </sheetView>
  </sheetViews>
  <sheetFormatPr defaultColWidth="9.33203125" defaultRowHeight="12.75" x14ac:dyDescent="0.2"/>
  <cols>
    <col min="1" max="1" width="34.83203125" style="45" customWidth="1"/>
    <col min="2" max="2" width="12.83203125" style="44" customWidth="1"/>
    <col min="3" max="3" width="14.1640625" style="44" customWidth="1"/>
    <col min="4" max="4" width="14.83203125" style="44" customWidth="1"/>
    <col min="5" max="5" width="12.6640625" style="44" customWidth="1"/>
    <col min="6" max="6" width="15" style="58" customWidth="1"/>
    <col min="7" max="8" width="12.83203125" style="44" customWidth="1"/>
    <col min="9" max="9" width="13.83203125" style="44" customWidth="1"/>
    <col min="10" max="16384" width="9.33203125" style="44"/>
  </cols>
  <sheetData>
    <row r="1" spans="1:6" ht="25.5" customHeight="1" x14ac:dyDescent="0.2">
      <c r="A1" s="697" t="s">
        <v>0</v>
      </c>
      <c r="B1" s="697"/>
      <c r="C1" s="697"/>
      <c r="D1" s="697"/>
      <c r="E1" s="697"/>
      <c r="F1" s="697"/>
    </row>
    <row r="2" spans="1:6" ht="22.5" customHeight="1" thickBot="1" x14ac:dyDescent="0.3">
      <c r="A2" s="197"/>
      <c r="B2" s="58"/>
      <c r="C2" s="58"/>
      <c r="D2" s="58"/>
      <c r="E2" s="58"/>
      <c r="F2" s="571" t="s">
        <v>58</v>
      </c>
    </row>
    <row r="3" spans="1:6" s="47" customFormat="1" ht="44.25" customHeight="1" thickBot="1" x14ac:dyDescent="0.25">
      <c r="A3" s="198" t="s">
        <v>62</v>
      </c>
      <c r="B3" s="199" t="s">
        <v>63</v>
      </c>
      <c r="C3" s="199" t="s">
        <v>64</v>
      </c>
      <c r="D3" s="199" t="str">
        <f>+CONCATENATE("Felhasználás   ",LEFT(ÖSSZEFÜGGÉSEK!A5,4)-1,". XII. 31-ig")</f>
        <v>Felhasználás   2018. XII. 31-ig</v>
      </c>
      <c r="E3" s="199" t="str">
        <f>+'1.1.sz.mell.'!C3</f>
        <v>2019. évi előirányzat</v>
      </c>
      <c r="F3" s="55" t="str">
        <f>+CONCATENATE(LEFT(ÖSSZEFÜGGÉSEK!A5,4),". utáni szükséglet")</f>
        <v>2019. utáni szükséglet</v>
      </c>
    </row>
    <row r="4" spans="1:6" s="58" customFormat="1" ht="12" customHeight="1" thickBot="1" x14ac:dyDescent="0.25">
      <c r="A4" s="56" t="s">
        <v>484</v>
      </c>
      <c r="B4" s="57" t="s">
        <v>485</v>
      </c>
      <c r="C4" s="57" t="s">
        <v>486</v>
      </c>
      <c r="D4" s="57" t="s">
        <v>488</v>
      </c>
      <c r="E4" s="57" t="s">
        <v>487</v>
      </c>
      <c r="F4" s="527" t="s">
        <v>550</v>
      </c>
    </row>
    <row r="5" spans="1:6" ht="15.95" customHeight="1" x14ac:dyDescent="0.2">
      <c r="A5" s="482" t="s">
        <v>610</v>
      </c>
      <c r="B5" s="25">
        <v>3511</v>
      </c>
      <c r="C5" s="483" t="s">
        <v>661</v>
      </c>
      <c r="D5" s="25"/>
      <c r="E5" s="25">
        <v>3511</v>
      </c>
      <c r="F5" s="59">
        <f>B5-D5-E5</f>
        <v>0</v>
      </c>
    </row>
    <row r="6" spans="1:6" ht="15.95" customHeight="1" x14ac:dyDescent="0.2">
      <c r="A6" s="482" t="s">
        <v>602</v>
      </c>
      <c r="B6" s="25">
        <f>SUM(B7:B14)</f>
        <v>12115</v>
      </c>
      <c r="C6" s="483" t="s">
        <v>661</v>
      </c>
      <c r="D6" s="25"/>
      <c r="E6" s="25">
        <f>SUM(E7:E14)</f>
        <v>12115</v>
      </c>
      <c r="F6" s="59">
        <f>B6-D6-E6</f>
        <v>0</v>
      </c>
    </row>
    <row r="7" spans="1:6" ht="15.95" customHeight="1" x14ac:dyDescent="0.2">
      <c r="A7" s="572" t="s">
        <v>626</v>
      </c>
      <c r="B7" s="573">
        <v>431</v>
      </c>
      <c r="C7" s="574" t="s">
        <v>661</v>
      </c>
      <c r="D7" s="573"/>
      <c r="E7" s="573">
        <v>431</v>
      </c>
      <c r="F7" s="59"/>
    </row>
    <row r="8" spans="1:6" ht="15.95" customHeight="1" x14ac:dyDescent="0.2">
      <c r="A8" s="572" t="s">
        <v>720</v>
      </c>
      <c r="B8" s="573">
        <v>335</v>
      </c>
      <c r="C8" s="574" t="s">
        <v>661</v>
      </c>
      <c r="D8" s="573"/>
      <c r="E8" s="573">
        <v>335</v>
      </c>
      <c r="F8" s="59"/>
    </row>
    <row r="9" spans="1:6" ht="15.95" customHeight="1" x14ac:dyDescent="0.2">
      <c r="A9" s="572" t="s">
        <v>721</v>
      </c>
      <c r="B9" s="573">
        <v>56</v>
      </c>
      <c r="C9" s="574" t="s">
        <v>661</v>
      </c>
      <c r="D9" s="573"/>
      <c r="E9" s="573">
        <v>56</v>
      </c>
      <c r="F9" s="59"/>
    </row>
    <row r="10" spans="1:6" ht="15.95" customHeight="1" x14ac:dyDescent="0.2">
      <c r="A10" s="572" t="s">
        <v>722</v>
      </c>
      <c r="B10" s="573">
        <v>157</v>
      </c>
      <c r="C10" s="574" t="s">
        <v>661</v>
      </c>
      <c r="D10" s="573"/>
      <c r="E10" s="573">
        <v>157</v>
      </c>
      <c r="F10" s="59"/>
    </row>
    <row r="11" spans="1:6" ht="15.95" customHeight="1" x14ac:dyDescent="0.2">
      <c r="A11" s="572" t="s">
        <v>723</v>
      </c>
      <c r="B11" s="573">
        <v>189</v>
      </c>
      <c r="C11" s="574" t="s">
        <v>661</v>
      </c>
      <c r="D11" s="573"/>
      <c r="E11" s="573">
        <v>189</v>
      </c>
      <c r="F11" s="59"/>
    </row>
    <row r="12" spans="1:6" ht="15.95" customHeight="1" x14ac:dyDescent="0.2">
      <c r="A12" s="572" t="s">
        <v>724</v>
      </c>
      <c r="B12" s="573">
        <v>63</v>
      </c>
      <c r="C12" s="574" t="s">
        <v>661</v>
      </c>
      <c r="D12" s="573"/>
      <c r="E12" s="573">
        <v>63</v>
      </c>
      <c r="F12" s="59"/>
    </row>
    <row r="13" spans="1:6" ht="15.95" customHeight="1" x14ac:dyDescent="0.2">
      <c r="A13" s="572" t="s">
        <v>663</v>
      </c>
      <c r="B13" s="573">
        <v>100</v>
      </c>
      <c r="C13" s="574" t="s">
        <v>661</v>
      </c>
      <c r="D13" s="573"/>
      <c r="E13" s="573">
        <v>100</v>
      </c>
      <c r="F13" s="59"/>
    </row>
    <row r="14" spans="1:6" ht="15.95" customHeight="1" x14ac:dyDescent="0.2">
      <c r="A14" s="572" t="s">
        <v>664</v>
      </c>
      <c r="B14" s="573">
        <v>10784</v>
      </c>
      <c r="C14" s="574" t="s">
        <v>661</v>
      </c>
      <c r="D14" s="573"/>
      <c r="E14" s="573">
        <v>10784</v>
      </c>
      <c r="F14" s="59"/>
    </row>
    <row r="15" spans="1:6" x14ac:dyDescent="0.2">
      <c r="A15" s="581" t="s">
        <v>603</v>
      </c>
      <c r="B15" s="25">
        <v>2000</v>
      </c>
      <c r="C15" s="483" t="s">
        <v>661</v>
      </c>
      <c r="D15" s="25"/>
      <c r="E15" s="25">
        <v>2000</v>
      </c>
      <c r="F15" s="59">
        <f t="shared" ref="F15:F25" si="0">B15-D15-E15</f>
        <v>0</v>
      </c>
    </row>
    <row r="16" spans="1:6" x14ac:dyDescent="0.2">
      <c r="A16" s="581" t="s">
        <v>665</v>
      </c>
      <c r="B16" s="25">
        <v>3500</v>
      </c>
      <c r="C16" s="483" t="s">
        <v>661</v>
      </c>
      <c r="D16" s="25"/>
      <c r="E16" s="25">
        <v>3500</v>
      </c>
      <c r="F16" s="59"/>
    </row>
    <row r="17" spans="1:6" ht="15.95" customHeight="1" x14ac:dyDescent="0.2">
      <c r="A17" s="581" t="s">
        <v>631</v>
      </c>
      <c r="B17" s="25">
        <v>278985</v>
      </c>
      <c r="C17" s="483" t="s">
        <v>661</v>
      </c>
      <c r="D17" s="25"/>
      <c r="E17" s="25">
        <v>278985</v>
      </c>
      <c r="F17" s="59">
        <f t="shared" si="0"/>
        <v>0</v>
      </c>
    </row>
    <row r="18" spans="1:6" ht="15.95" customHeight="1" x14ac:dyDescent="0.2">
      <c r="A18" s="581" t="s">
        <v>632</v>
      </c>
      <c r="B18" s="25">
        <v>47000</v>
      </c>
      <c r="C18" s="483" t="s">
        <v>661</v>
      </c>
      <c r="D18" s="25"/>
      <c r="E18" s="25">
        <v>47000</v>
      </c>
      <c r="F18" s="59">
        <f t="shared" si="0"/>
        <v>0</v>
      </c>
    </row>
    <row r="19" spans="1:6" ht="15.95" customHeight="1" x14ac:dyDescent="0.2">
      <c r="A19" s="581" t="s">
        <v>666</v>
      </c>
      <c r="B19" s="25">
        <v>2056</v>
      </c>
      <c r="C19" s="483" t="s">
        <v>661</v>
      </c>
      <c r="D19" s="25"/>
      <c r="E19" s="25">
        <v>2056</v>
      </c>
      <c r="F19" s="59">
        <f t="shared" si="0"/>
        <v>0</v>
      </c>
    </row>
    <row r="20" spans="1:6" ht="15.95" customHeight="1" x14ac:dyDescent="0.2">
      <c r="A20" s="581" t="s">
        <v>633</v>
      </c>
      <c r="B20" s="25">
        <v>65651</v>
      </c>
      <c r="C20" s="483" t="s">
        <v>661</v>
      </c>
      <c r="D20" s="25"/>
      <c r="E20" s="25">
        <v>65651</v>
      </c>
      <c r="F20" s="59">
        <f t="shared" si="0"/>
        <v>0</v>
      </c>
    </row>
    <row r="21" spans="1:6" ht="15.95" customHeight="1" x14ac:dyDescent="0.2">
      <c r="A21" s="581" t="s">
        <v>634</v>
      </c>
      <c r="B21" s="25">
        <v>90917</v>
      </c>
      <c r="C21" s="483" t="s">
        <v>661</v>
      </c>
      <c r="D21" s="25"/>
      <c r="E21" s="25">
        <v>90917</v>
      </c>
      <c r="F21" s="59">
        <f t="shared" si="0"/>
        <v>0</v>
      </c>
    </row>
    <row r="22" spans="1:6" ht="15.95" customHeight="1" x14ac:dyDescent="0.2">
      <c r="A22" s="562" t="s">
        <v>635</v>
      </c>
      <c r="B22" s="25">
        <v>75884</v>
      </c>
      <c r="C22" s="483" t="s">
        <v>661</v>
      </c>
      <c r="D22" s="25"/>
      <c r="E22" s="25">
        <v>75884</v>
      </c>
      <c r="F22" s="59">
        <f t="shared" si="0"/>
        <v>0</v>
      </c>
    </row>
    <row r="23" spans="1:6" ht="15.95" customHeight="1" x14ac:dyDescent="0.2">
      <c r="A23" s="482" t="s">
        <v>667</v>
      </c>
      <c r="B23" s="25">
        <v>3000</v>
      </c>
      <c r="C23" s="483" t="s">
        <v>661</v>
      </c>
      <c r="D23" s="25"/>
      <c r="E23" s="25">
        <v>3000</v>
      </c>
      <c r="F23" s="59">
        <f t="shared" si="0"/>
        <v>0</v>
      </c>
    </row>
    <row r="24" spans="1:6" ht="15.95" customHeight="1" x14ac:dyDescent="0.2">
      <c r="A24" s="589" t="s">
        <v>715</v>
      </c>
      <c r="B24" s="26">
        <v>4000</v>
      </c>
      <c r="C24" s="484" t="s">
        <v>661</v>
      </c>
      <c r="D24" s="26"/>
      <c r="E24" s="26">
        <v>4000</v>
      </c>
      <c r="F24" s="61">
        <f t="shared" si="0"/>
        <v>0</v>
      </c>
    </row>
    <row r="25" spans="1:6" ht="15.95" customHeight="1" thickBot="1" x14ac:dyDescent="0.25">
      <c r="A25" s="60" t="s">
        <v>668</v>
      </c>
      <c r="B25" s="26">
        <v>2500</v>
      </c>
      <c r="C25" s="484" t="s">
        <v>661</v>
      </c>
      <c r="D25" s="26"/>
      <c r="E25" s="26">
        <v>2500</v>
      </c>
      <c r="F25" s="61">
        <f t="shared" si="0"/>
        <v>0</v>
      </c>
    </row>
    <row r="26" spans="1:6" s="64" customFormat="1" ht="18" customHeight="1" thickBot="1" x14ac:dyDescent="0.25">
      <c r="A26" s="200" t="s">
        <v>61</v>
      </c>
      <c r="B26" s="62">
        <f>+B5+B6+B15+B17+B20+B21+B22+B23+B18+B19+B16+B25+B24</f>
        <v>591119</v>
      </c>
      <c r="C26" s="127"/>
      <c r="D26" s="62">
        <f>SUM(D5:D25)</f>
        <v>0</v>
      </c>
      <c r="E26" s="62">
        <f>+E5+E6+E15+E17+E20+E21+E22+E23+E18+E19+E16+E25+E24</f>
        <v>591119</v>
      </c>
      <c r="F26" s="63">
        <f>SUM(F5:F25)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0236220472440944" bottom="0.98425196850393704" header="0.78740157480314965" footer="0.78740157480314965"/>
  <pageSetup paperSize="9" scale="91" orientation="portrait" r:id="rId1"/>
  <headerFooter alignWithMargins="0">
    <oddHeader>&amp;R&amp;"Times New Roman CE,Félkövér dőlt"&amp;11 6. melléklet a ../2019. (......)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2"/>
  <sheetViews>
    <sheetView view="pageLayout" zoomScaleNormal="100" workbookViewId="0">
      <selection activeCell="E9" sqref="E9"/>
    </sheetView>
  </sheetViews>
  <sheetFormatPr defaultColWidth="9.33203125" defaultRowHeight="12.75" x14ac:dyDescent="0.2"/>
  <cols>
    <col min="1" max="1" width="60.6640625" style="45" customWidth="1"/>
    <col min="2" max="2" width="15.6640625" style="44" customWidth="1"/>
    <col min="3" max="3" width="16.33203125" style="44" customWidth="1"/>
    <col min="4" max="4" width="18" style="44" customWidth="1"/>
    <col min="5" max="5" width="16.6640625" style="44" customWidth="1"/>
    <col min="6" max="6" width="18.83203125" style="44" customWidth="1"/>
    <col min="7" max="8" width="12.83203125" style="44" customWidth="1"/>
    <col min="9" max="9" width="13.83203125" style="44" customWidth="1"/>
    <col min="10" max="16384" width="9.33203125" style="44"/>
  </cols>
  <sheetData>
    <row r="1" spans="1:6" ht="24.75" customHeight="1" x14ac:dyDescent="0.2">
      <c r="A1" s="697" t="s">
        <v>1</v>
      </c>
      <c r="B1" s="697"/>
      <c r="C1" s="697"/>
      <c r="D1" s="697"/>
      <c r="E1" s="697"/>
      <c r="F1" s="697"/>
    </row>
    <row r="2" spans="1:6" ht="23.25" customHeight="1" thickBot="1" x14ac:dyDescent="0.3">
      <c r="A2" s="197"/>
      <c r="B2" s="58"/>
      <c r="C2" s="58"/>
      <c r="D2" s="58"/>
      <c r="E2" s="58"/>
      <c r="F2" s="54" t="s">
        <v>58</v>
      </c>
    </row>
    <row r="3" spans="1:6" s="47" customFormat="1" ht="48.75" customHeight="1" thickBot="1" x14ac:dyDescent="0.25">
      <c r="A3" s="198" t="s">
        <v>65</v>
      </c>
      <c r="B3" s="199" t="s">
        <v>63</v>
      </c>
      <c r="C3" s="199" t="s">
        <v>64</v>
      </c>
      <c r="D3" s="199" t="str">
        <f>+'6.sz.mell.'!D3</f>
        <v>Felhasználás   2018. XII. 31-ig</v>
      </c>
      <c r="E3" s="199" t="str">
        <f>+'6.sz.mell.'!E3</f>
        <v>2019. évi előirányzat</v>
      </c>
      <c r="F3" s="525" t="str">
        <f>+CONCATENATE(LEFT(ÖSSZEFÜGGÉSEK!A5,4),". utáni szükséglet ",CHAR(10),"")</f>
        <v xml:space="preserve">2019. utáni szükséglet 
</v>
      </c>
    </row>
    <row r="4" spans="1:6" s="58" customFormat="1" ht="15" customHeight="1" thickBot="1" x14ac:dyDescent="0.25">
      <c r="A4" s="56" t="s">
        <v>484</v>
      </c>
      <c r="B4" s="57" t="s">
        <v>485</v>
      </c>
      <c r="C4" s="57" t="s">
        <v>486</v>
      </c>
      <c r="D4" s="57" t="s">
        <v>488</v>
      </c>
      <c r="E4" s="57" t="s">
        <v>487</v>
      </c>
      <c r="F4" s="528" t="s">
        <v>550</v>
      </c>
    </row>
    <row r="5" spans="1:6" ht="15.95" customHeight="1" x14ac:dyDescent="0.2">
      <c r="A5" s="65" t="s">
        <v>662</v>
      </c>
      <c r="B5" s="66">
        <v>3550</v>
      </c>
      <c r="C5" s="485" t="s">
        <v>661</v>
      </c>
      <c r="D5" s="66"/>
      <c r="E5" s="66">
        <v>3550</v>
      </c>
      <c r="F5" s="67">
        <f t="shared" ref="F5:F11" si="0">B5-D5-E5</f>
        <v>0</v>
      </c>
    </row>
    <row r="6" spans="1:6" ht="15.95" customHeight="1" x14ac:dyDescent="0.2">
      <c r="A6" s="65" t="s">
        <v>716</v>
      </c>
      <c r="B6" s="66">
        <v>800</v>
      </c>
      <c r="C6" s="485" t="s">
        <v>661</v>
      </c>
      <c r="D6" s="66"/>
      <c r="E6" s="66">
        <v>800</v>
      </c>
      <c r="F6" s="67">
        <f t="shared" si="0"/>
        <v>0</v>
      </c>
    </row>
    <row r="7" spans="1:6" ht="15.95" customHeight="1" x14ac:dyDescent="0.2">
      <c r="A7" s="65" t="s">
        <v>717</v>
      </c>
      <c r="B7" s="66">
        <v>1000</v>
      </c>
      <c r="C7" s="485" t="s">
        <v>661</v>
      </c>
      <c r="D7" s="66"/>
      <c r="E7" s="66">
        <v>1000</v>
      </c>
      <c r="F7" s="67">
        <f t="shared" si="0"/>
        <v>0</v>
      </c>
    </row>
    <row r="8" spans="1:6" ht="15.95" customHeight="1" x14ac:dyDescent="0.2">
      <c r="A8" s="65" t="s">
        <v>725</v>
      </c>
      <c r="B8" s="66">
        <v>17651</v>
      </c>
      <c r="C8" s="485" t="s">
        <v>661</v>
      </c>
      <c r="D8" s="66"/>
      <c r="E8" s="66">
        <v>17651</v>
      </c>
      <c r="F8" s="67">
        <f t="shared" si="0"/>
        <v>0</v>
      </c>
    </row>
    <row r="9" spans="1:6" ht="15.95" customHeight="1" x14ac:dyDescent="0.2">
      <c r="A9" s="65"/>
      <c r="B9" s="66"/>
      <c r="C9" s="485"/>
      <c r="D9" s="66"/>
      <c r="E9" s="66"/>
      <c r="F9" s="67">
        <f t="shared" si="0"/>
        <v>0</v>
      </c>
    </row>
    <row r="10" spans="1:6" ht="15.95" customHeight="1" x14ac:dyDescent="0.2">
      <c r="A10" s="65"/>
      <c r="B10" s="66"/>
      <c r="C10" s="485"/>
      <c r="D10" s="66"/>
      <c r="E10" s="66"/>
      <c r="F10" s="67">
        <f t="shared" si="0"/>
        <v>0</v>
      </c>
    </row>
    <row r="11" spans="1:6" ht="15.95" customHeight="1" thickBot="1" x14ac:dyDescent="0.25">
      <c r="A11" s="68"/>
      <c r="B11" s="69"/>
      <c r="C11" s="486"/>
      <c r="D11" s="69"/>
      <c r="E11" s="69"/>
      <c r="F11" s="70">
        <f t="shared" si="0"/>
        <v>0</v>
      </c>
    </row>
    <row r="12" spans="1:6" s="64" customFormat="1" ht="18" customHeight="1" thickBot="1" x14ac:dyDescent="0.25">
      <c r="A12" s="200" t="s">
        <v>61</v>
      </c>
      <c r="B12" s="201">
        <f>SUM(B5:B11)</f>
        <v>23001</v>
      </c>
      <c r="C12" s="128"/>
      <c r="D12" s="201">
        <f>SUM(D5:D11)</f>
        <v>0</v>
      </c>
      <c r="E12" s="201">
        <f>SUM(E5:E11)</f>
        <v>23001</v>
      </c>
      <c r="F12" s="71">
        <f>SUM(F5:F11)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r:id="rId1"/>
  <headerFooter alignWithMargins="0">
    <oddHeader xml:space="preserve">&amp;R&amp;"Times New Roman CE,Félkövér dőlt"&amp;12 &amp;11 7. melléklet a .../2019. (....) önkormányzati rendelethez&amp;"Times New Roman CE,Normál"&amp;10
 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86"/>
  <sheetViews>
    <sheetView view="pageLayout" topLeftCell="A164" zoomScaleNormal="100" workbookViewId="0">
      <selection activeCell="B166" sqref="B166:E166"/>
    </sheetView>
  </sheetViews>
  <sheetFormatPr defaultColWidth="9.33203125" defaultRowHeight="12.75" x14ac:dyDescent="0.2"/>
  <cols>
    <col min="1" max="1" width="38.6640625" style="49" customWidth="1"/>
    <col min="2" max="5" width="13.83203125" style="49" customWidth="1"/>
    <col min="6" max="16384" width="9.33203125" style="49"/>
  </cols>
  <sheetData>
    <row r="1" spans="1:5" x14ac:dyDescent="0.2">
      <c r="A1" s="222"/>
      <c r="B1" s="222"/>
      <c r="C1" s="222"/>
      <c r="D1" s="222"/>
      <c r="E1" s="222"/>
    </row>
    <row r="2" spans="1:5" x14ac:dyDescent="0.2">
      <c r="A2" s="222"/>
      <c r="B2" s="222"/>
      <c r="C2" s="222"/>
      <c r="D2" s="222"/>
      <c r="E2" s="222"/>
    </row>
    <row r="3" spans="1:5" x14ac:dyDescent="0.2">
      <c r="A3" s="222"/>
      <c r="B3" s="222"/>
      <c r="C3" s="222"/>
      <c r="D3" s="222"/>
      <c r="E3" s="222"/>
    </row>
    <row r="4" spans="1:5" ht="30" customHeight="1" x14ac:dyDescent="0.2">
      <c r="A4" s="588" t="s">
        <v>133</v>
      </c>
      <c r="B4" s="698" t="s">
        <v>646</v>
      </c>
      <c r="C4" s="698"/>
      <c r="D4" s="698"/>
      <c r="E4" s="698"/>
    </row>
    <row r="5" spans="1:5" ht="14.25" thickBot="1" x14ac:dyDescent="0.3">
      <c r="A5" s="222"/>
      <c r="B5" s="222"/>
      <c r="C5" s="222"/>
      <c r="D5" s="699" t="s">
        <v>126</v>
      </c>
      <c r="E5" s="699"/>
    </row>
    <row r="6" spans="1:5" ht="13.5" thickBot="1" x14ac:dyDescent="0.25">
      <c r="A6" s="223" t="s">
        <v>125</v>
      </c>
      <c r="B6" s="224">
        <v>2018</v>
      </c>
      <c r="C6" s="224">
        <v>2019</v>
      </c>
      <c r="D6" s="224">
        <v>2020</v>
      </c>
      <c r="E6" s="225" t="s">
        <v>48</v>
      </c>
    </row>
    <row r="7" spans="1:5" x14ac:dyDescent="0.2">
      <c r="A7" s="226" t="s">
        <v>127</v>
      </c>
      <c r="B7" s="90"/>
      <c r="C7" s="90">
        <f>+C18+C19-C9</f>
        <v>996</v>
      </c>
      <c r="D7" s="90"/>
      <c r="E7" s="227">
        <f t="shared" ref="E7:E13" si="0">SUM(B7:D7)</f>
        <v>996</v>
      </c>
    </row>
    <row r="8" spans="1:5" x14ac:dyDescent="0.2">
      <c r="A8" s="228" t="s">
        <v>139</v>
      </c>
      <c r="B8" s="91"/>
      <c r="C8" s="91"/>
      <c r="D8" s="91"/>
      <c r="E8" s="229">
        <f t="shared" si="0"/>
        <v>0</v>
      </c>
    </row>
    <row r="9" spans="1:5" x14ac:dyDescent="0.2">
      <c r="A9" s="230" t="s">
        <v>128</v>
      </c>
      <c r="B9" s="92"/>
      <c r="C9" s="92">
        <v>47000</v>
      </c>
      <c r="D9" s="92"/>
      <c r="E9" s="231">
        <f t="shared" si="0"/>
        <v>47000</v>
      </c>
    </row>
    <row r="10" spans="1:5" x14ac:dyDescent="0.2">
      <c r="A10" s="230" t="s">
        <v>140</v>
      </c>
      <c r="B10" s="92"/>
      <c r="C10" s="92"/>
      <c r="D10" s="92"/>
      <c r="E10" s="231">
        <f t="shared" si="0"/>
        <v>0</v>
      </c>
    </row>
    <row r="11" spans="1:5" x14ac:dyDescent="0.2">
      <c r="A11" s="230" t="s">
        <v>129</v>
      </c>
      <c r="B11" s="92"/>
      <c r="C11" s="92"/>
      <c r="D11" s="92"/>
      <c r="E11" s="231">
        <f t="shared" si="0"/>
        <v>0</v>
      </c>
    </row>
    <row r="12" spans="1:5" x14ac:dyDescent="0.2">
      <c r="A12" s="230" t="s">
        <v>130</v>
      </c>
      <c r="B12" s="92"/>
      <c r="C12" s="92"/>
      <c r="D12" s="92"/>
      <c r="E12" s="231">
        <f t="shared" si="0"/>
        <v>0</v>
      </c>
    </row>
    <row r="13" spans="1:5" ht="13.5" thickBot="1" x14ac:dyDescent="0.25">
      <c r="A13" s="93"/>
      <c r="B13" s="94"/>
      <c r="C13" s="94"/>
      <c r="D13" s="94"/>
      <c r="E13" s="231">
        <f t="shared" si="0"/>
        <v>0</v>
      </c>
    </row>
    <row r="14" spans="1:5" ht="13.5" thickBot="1" x14ac:dyDescent="0.25">
      <c r="A14" s="232" t="s">
        <v>132</v>
      </c>
      <c r="B14" s="233">
        <f>+B24</f>
        <v>0</v>
      </c>
      <c r="C14" s="233">
        <f>C7+SUM(C9:C13)</f>
        <v>47996</v>
      </c>
      <c r="D14" s="233">
        <f>D7+SUM(D9:D13)</f>
        <v>0</v>
      </c>
      <c r="E14" s="234">
        <f>E7+SUM(E9:E13)</f>
        <v>47996</v>
      </c>
    </row>
    <row r="15" spans="1:5" ht="13.5" thickBot="1" x14ac:dyDescent="0.25">
      <c r="A15" s="53"/>
      <c r="B15" s="53"/>
      <c r="C15" s="53"/>
      <c r="D15" s="53"/>
      <c r="E15" s="53"/>
    </row>
    <row r="16" spans="1:5" ht="13.5" thickBot="1" x14ac:dyDescent="0.25">
      <c r="A16" s="223" t="s">
        <v>131</v>
      </c>
      <c r="B16" s="224">
        <f>+B6</f>
        <v>2018</v>
      </c>
      <c r="C16" s="224">
        <f>+C6</f>
        <v>2019</v>
      </c>
      <c r="D16" s="224">
        <f>+D6</f>
        <v>2020</v>
      </c>
      <c r="E16" s="225" t="s">
        <v>48</v>
      </c>
    </row>
    <row r="17" spans="1:5" x14ac:dyDescent="0.2">
      <c r="A17" s="226" t="s">
        <v>135</v>
      </c>
      <c r="B17" s="90"/>
      <c r="C17" s="90"/>
      <c r="D17" s="90"/>
      <c r="E17" s="227">
        <f t="shared" ref="E17:E23" si="1">SUM(B17:D17)</f>
        <v>0</v>
      </c>
    </row>
    <row r="18" spans="1:5" x14ac:dyDescent="0.2">
      <c r="A18" s="235" t="s">
        <v>136</v>
      </c>
      <c r="B18" s="92"/>
      <c r="C18" s="92">
        <v>47000</v>
      </c>
      <c r="D18" s="92"/>
      <c r="E18" s="231">
        <f t="shared" si="1"/>
        <v>47000</v>
      </c>
    </row>
    <row r="19" spans="1:5" x14ac:dyDescent="0.2">
      <c r="A19" s="230" t="s">
        <v>137</v>
      </c>
      <c r="B19" s="92"/>
      <c r="C19" s="92">
        <v>996</v>
      </c>
      <c r="D19" s="92"/>
      <c r="E19" s="231">
        <f t="shared" si="1"/>
        <v>996</v>
      </c>
    </row>
    <row r="20" spans="1:5" x14ac:dyDescent="0.2">
      <c r="A20" s="230" t="s">
        <v>138</v>
      </c>
      <c r="B20" s="92"/>
      <c r="C20" s="92"/>
      <c r="D20" s="92"/>
      <c r="E20" s="231">
        <f t="shared" si="1"/>
        <v>0</v>
      </c>
    </row>
    <row r="21" spans="1:5" x14ac:dyDescent="0.2">
      <c r="A21" s="95"/>
      <c r="B21" s="92"/>
      <c r="C21" s="92"/>
      <c r="D21" s="92"/>
      <c r="E21" s="231">
        <f t="shared" si="1"/>
        <v>0</v>
      </c>
    </row>
    <row r="22" spans="1:5" x14ac:dyDescent="0.2">
      <c r="A22" s="95"/>
      <c r="B22" s="92"/>
      <c r="C22" s="92"/>
      <c r="D22" s="92"/>
      <c r="E22" s="231">
        <f t="shared" si="1"/>
        <v>0</v>
      </c>
    </row>
    <row r="23" spans="1:5" ht="13.5" thickBot="1" x14ac:dyDescent="0.25">
      <c r="A23" s="93"/>
      <c r="B23" s="94"/>
      <c r="C23" s="94"/>
      <c r="D23" s="94"/>
      <c r="E23" s="231">
        <f t="shared" si="1"/>
        <v>0</v>
      </c>
    </row>
    <row r="24" spans="1:5" ht="13.5" thickBot="1" x14ac:dyDescent="0.25">
      <c r="A24" s="232" t="s">
        <v>50</v>
      </c>
      <c r="B24" s="233">
        <f>SUM(B17:B23)</f>
        <v>0</v>
      </c>
      <c r="C24" s="233">
        <f>SUM(C17:C23)</f>
        <v>47996</v>
      </c>
      <c r="D24" s="233">
        <f>SUM(D17:D23)</f>
        <v>0</v>
      </c>
      <c r="E24" s="234">
        <f>SUM(E17:E23)</f>
        <v>47996</v>
      </c>
    </row>
    <row r="25" spans="1:5" x14ac:dyDescent="0.2">
      <c r="A25" s="586"/>
      <c r="B25" s="587"/>
      <c r="C25" s="587"/>
      <c r="D25" s="587"/>
      <c r="E25" s="587"/>
    </row>
    <row r="26" spans="1:5" x14ac:dyDescent="0.2">
      <c r="A26" s="586"/>
      <c r="B26" s="587"/>
      <c r="C26" s="587"/>
      <c r="D26" s="587"/>
      <c r="E26" s="587"/>
    </row>
    <row r="27" spans="1:5" x14ac:dyDescent="0.2">
      <c r="A27" s="586"/>
      <c r="B27" s="587"/>
      <c r="C27" s="587"/>
      <c r="D27" s="587"/>
      <c r="E27" s="587"/>
    </row>
    <row r="28" spans="1:5" ht="29.25" customHeight="1" x14ac:dyDescent="0.2">
      <c r="A28" s="588" t="s">
        <v>133</v>
      </c>
      <c r="B28" s="698" t="s">
        <v>647</v>
      </c>
      <c r="C28" s="698"/>
      <c r="D28" s="698"/>
      <c r="E28" s="698"/>
    </row>
    <row r="29" spans="1:5" ht="14.25" thickBot="1" x14ac:dyDescent="0.3">
      <c r="A29" s="222"/>
      <c r="B29" s="222"/>
      <c r="C29" s="222"/>
      <c r="D29" s="699" t="s">
        <v>126</v>
      </c>
      <c r="E29" s="699"/>
    </row>
    <row r="30" spans="1:5" ht="13.5" thickBot="1" x14ac:dyDescent="0.25">
      <c r="A30" s="223" t="s">
        <v>125</v>
      </c>
      <c r="B30" s="224">
        <v>2018</v>
      </c>
      <c r="C30" s="224">
        <v>2019</v>
      </c>
      <c r="D30" s="224">
        <v>2020</v>
      </c>
      <c r="E30" s="225" t="s">
        <v>48</v>
      </c>
    </row>
    <row r="31" spans="1:5" x14ac:dyDescent="0.2">
      <c r="A31" s="226" t="s">
        <v>127</v>
      </c>
      <c r="B31" s="90"/>
      <c r="C31" s="90">
        <f>+C48-C33</f>
        <v>4092</v>
      </c>
      <c r="D31" s="90"/>
      <c r="E31" s="227">
        <f t="shared" ref="E31:E37" si="2">SUM(B31:D31)</f>
        <v>4092</v>
      </c>
    </row>
    <row r="32" spans="1:5" x14ac:dyDescent="0.2">
      <c r="A32" s="228" t="s">
        <v>139</v>
      </c>
      <c r="B32" s="91"/>
      <c r="C32" s="91"/>
      <c r="D32" s="91"/>
      <c r="E32" s="229">
        <f t="shared" si="2"/>
        <v>0</v>
      </c>
    </row>
    <row r="33" spans="1:5" x14ac:dyDescent="0.2">
      <c r="A33" s="230" t="s">
        <v>128</v>
      </c>
      <c r="B33" s="92"/>
      <c r="C33" s="92">
        <v>72111</v>
      </c>
      <c r="D33" s="92"/>
      <c r="E33" s="231">
        <f t="shared" si="2"/>
        <v>72111</v>
      </c>
    </row>
    <row r="34" spans="1:5" x14ac:dyDescent="0.2">
      <c r="A34" s="230" t="s">
        <v>140</v>
      </c>
      <c r="B34" s="92"/>
      <c r="C34" s="92"/>
      <c r="D34" s="92"/>
      <c r="E34" s="231">
        <f t="shared" si="2"/>
        <v>0</v>
      </c>
    </row>
    <row r="35" spans="1:5" x14ac:dyDescent="0.2">
      <c r="A35" s="230" t="s">
        <v>129</v>
      </c>
      <c r="B35" s="92"/>
      <c r="C35" s="92"/>
      <c r="D35" s="92"/>
      <c r="E35" s="231">
        <f t="shared" si="2"/>
        <v>0</v>
      </c>
    </row>
    <row r="36" spans="1:5" x14ac:dyDescent="0.2">
      <c r="A36" s="230" t="s">
        <v>130</v>
      </c>
      <c r="B36" s="92"/>
      <c r="C36" s="92"/>
      <c r="D36" s="92"/>
      <c r="E36" s="231">
        <f t="shared" si="2"/>
        <v>0</v>
      </c>
    </row>
    <row r="37" spans="1:5" ht="13.5" thickBot="1" x14ac:dyDescent="0.25">
      <c r="A37" s="93"/>
      <c r="B37" s="94"/>
      <c r="C37" s="94"/>
      <c r="D37" s="94"/>
      <c r="E37" s="231">
        <f t="shared" si="2"/>
        <v>0</v>
      </c>
    </row>
    <row r="38" spans="1:5" ht="13.5" thickBot="1" x14ac:dyDescent="0.25">
      <c r="A38" s="232" t="s">
        <v>132</v>
      </c>
      <c r="B38" s="233">
        <f>B31+SUM(B33:B37)</f>
        <v>0</v>
      </c>
      <c r="C38" s="233">
        <f>C31+SUM(C33:C37)</f>
        <v>76203</v>
      </c>
      <c r="D38" s="233">
        <f>D31+SUM(D33:D37)</f>
        <v>0</v>
      </c>
      <c r="E38" s="234">
        <f>E31+SUM(E33:E37)</f>
        <v>76203</v>
      </c>
    </row>
    <row r="39" spans="1:5" ht="13.5" thickBot="1" x14ac:dyDescent="0.25">
      <c r="A39" s="53"/>
      <c r="B39" s="53"/>
      <c r="C39" s="53"/>
      <c r="D39" s="53"/>
      <c r="E39" s="53"/>
    </row>
    <row r="40" spans="1:5" ht="13.5" thickBot="1" x14ac:dyDescent="0.25">
      <c r="A40" s="223" t="s">
        <v>131</v>
      </c>
      <c r="B40" s="224">
        <f>+B30</f>
        <v>2018</v>
      </c>
      <c r="C40" s="224">
        <f>+C30</f>
        <v>2019</v>
      </c>
      <c r="D40" s="224">
        <f>+D30</f>
        <v>2020</v>
      </c>
      <c r="E40" s="225" t="s">
        <v>48</v>
      </c>
    </row>
    <row r="41" spans="1:5" x14ac:dyDescent="0.2">
      <c r="A41" s="226" t="s">
        <v>135</v>
      </c>
      <c r="B41" s="90"/>
      <c r="C41" s="90"/>
      <c r="D41" s="90"/>
      <c r="E41" s="227">
        <f t="shared" ref="E41:E47" si="3">SUM(B41:D41)</f>
        <v>0</v>
      </c>
    </row>
    <row r="42" spans="1:5" x14ac:dyDescent="0.2">
      <c r="A42" s="235" t="s">
        <v>136</v>
      </c>
      <c r="B42" s="92"/>
      <c r="C42" s="92">
        <v>65651</v>
      </c>
      <c r="D42" s="92"/>
      <c r="E42" s="231">
        <f t="shared" si="3"/>
        <v>65651</v>
      </c>
    </row>
    <row r="43" spans="1:5" x14ac:dyDescent="0.2">
      <c r="A43" s="230" t="s">
        <v>137</v>
      </c>
      <c r="B43" s="92"/>
      <c r="C43" s="92">
        <v>10552</v>
      </c>
      <c r="D43" s="92"/>
      <c r="E43" s="231">
        <f t="shared" si="3"/>
        <v>10552</v>
      </c>
    </row>
    <row r="44" spans="1:5" x14ac:dyDescent="0.2">
      <c r="A44" s="230" t="s">
        <v>138</v>
      </c>
      <c r="B44" s="92"/>
      <c r="C44" s="92"/>
      <c r="D44" s="92"/>
      <c r="E44" s="231">
        <f t="shared" si="3"/>
        <v>0</v>
      </c>
    </row>
    <row r="45" spans="1:5" x14ac:dyDescent="0.2">
      <c r="A45" s="95"/>
      <c r="B45" s="92"/>
      <c r="C45" s="92"/>
      <c r="D45" s="92"/>
      <c r="E45" s="231">
        <f t="shared" si="3"/>
        <v>0</v>
      </c>
    </row>
    <row r="46" spans="1:5" x14ac:dyDescent="0.2">
      <c r="A46" s="95"/>
      <c r="B46" s="92"/>
      <c r="C46" s="92"/>
      <c r="D46" s="92"/>
      <c r="E46" s="231">
        <f t="shared" si="3"/>
        <v>0</v>
      </c>
    </row>
    <row r="47" spans="1:5" ht="13.5" thickBot="1" x14ac:dyDescent="0.25">
      <c r="A47" s="93"/>
      <c r="B47" s="94"/>
      <c r="C47" s="94"/>
      <c r="D47" s="94"/>
      <c r="E47" s="231">
        <f t="shared" si="3"/>
        <v>0</v>
      </c>
    </row>
    <row r="48" spans="1:5" ht="13.5" thickBot="1" x14ac:dyDescent="0.25">
      <c r="A48" s="232" t="s">
        <v>50</v>
      </c>
      <c r="B48" s="233">
        <f>SUM(B41:B47)</f>
        <v>0</v>
      </c>
      <c r="C48" s="233">
        <f>SUM(C41:C47)</f>
        <v>76203</v>
      </c>
      <c r="D48" s="233">
        <f>SUM(D41:D47)</f>
        <v>0</v>
      </c>
      <c r="E48" s="234">
        <f>SUM(E41:E47)</f>
        <v>76203</v>
      </c>
    </row>
    <row r="49" spans="1:5" x14ac:dyDescent="0.2">
      <c r="A49" s="586"/>
      <c r="B49" s="587"/>
      <c r="C49" s="587"/>
      <c r="D49" s="587"/>
      <c r="E49" s="587"/>
    </row>
    <row r="50" spans="1:5" x14ac:dyDescent="0.2">
      <c r="A50" s="586"/>
      <c r="B50" s="587"/>
      <c r="C50" s="587"/>
      <c r="D50" s="587"/>
      <c r="E50" s="587"/>
    </row>
    <row r="51" spans="1:5" ht="28.5" customHeight="1" x14ac:dyDescent="0.2">
      <c r="A51" s="588" t="s">
        <v>133</v>
      </c>
      <c r="B51" s="698" t="s">
        <v>648</v>
      </c>
      <c r="C51" s="698"/>
      <c r="D51" s="698"/>
      <c r="E51" s="698"/>
    </row>
    <row r="52" spans="1:5" ht="14.25" thickBot="1" x14ac:dyDescent="0.3">
      <c r="A52" s="222"/>
      <c r="B52" s="222"/>
      <c r="C52" s="222"/>
      <c r="D52" s="699" t="s">
        <v>126</v>
      </c>
      <c r="E52" s="699"/>
    </row>
    <row r="53" spans="1:5" ht="13.5" thickBot="1" x14ac:dyDescent="0.25">
      <c r="A53" s="223" t="s">
        <v>125</v>
      </c>
      <c r="B53" s="224">
        <f>+B40</f>
        <v>2018</v>
      </c>
      <c r="C53" s="224">
        <f>+C40</f>
        <v>2019</v>
      </c>
      <c r="D53" s="224">
        <f>+D40</f>
        <v>2020</v>
      </c>
      <c r="E53" s="225" t="s">
        <v>48</v>
      </c>
    </row>
    <row r="54" spans="1:5" x14ac:dyDescent="0.2">
      <c r="A54" s="226" t="s">
        <v>127</v>
      </c>
      <c r="B54" s="90"/>
      <c r="C54" s="90">
        <f>+C71-C56</f>
        <v>11949</v>
      </c>
      <c r="D54" s="90"/>
      <c r="E54" s="227">
        <f t="shared" ref="E54:E60" si="4">SUM(B54:D54)</f>
        <v>11949</v>
      </c>
    </row>
    <row r="55" spans="1:5" x14ac:dyDescent="0.2">
      <c r="A55" s="228" t="s">
        <v>139</v>
      </c>
      <c r="B55" s="91"/>
      <c r="C55" s="91"/>
      <c r="D55" s="91"/>
      <c r="E55" s="229">
        <f t="shared" si="4"/>
        <v>0</v>
      </c>
    </row>
    <row r="56" spans="1:5" x14ac:dyDescent="0.2">
      <c r="A56" s="230" t="s">
        <v>128</v>
      </c>
      <c r="B56" s="92"/>
      <c r="C56" s="92">
        <v>81317</v>
      </c>
      <c r="D56" s="92"/>
      <c r="E56" s="231">
        <f t="shared" si="4"/>
        <v>81317</v>
      </c>
    </row>
    <row r="57" spans="1:5" x14ac:dyDescent="0.2">
      <c r="A57" s="230" t="s">
        <v>140</v>
      </c>
      <c r="B57" s="92"/>
      <c r="C57" s="92"/>
      <c r="D57" s="92"/>
      <c r="E57" s="231">
        <f t="shared" si="4"/>
        <v>0</v>
      </c>
    </row>
    <row r="58" spans="1:5" x14ac:dyDescent="0.2">
      <c r="A58" s="230" t="s">
        <v>129</v>
      </c>
      <c r="B58" s="92"/>
      <c r="C58" s="92"/>
      <c r="D58" s="92"/>
      <c r="E58" s="231">
        <f t="shared" si="4"/>
        <v>0</v>
      </c>
    </row>
    <row r="59" spans="1:5" x14ac:dyDescent="0.2">
      <c r="A59" s="230" t="s">
        <v>130</v>
      </c>
      <c r="B59" s="92"/>
      <c r="C59" s="92"/>
      <c r="D59" s="92"/>
      <c r="E59" s="231">
        <f t="shared" si="4"/>
        <v>0</v>
      </c>
    </row>
    <row r="60" spans="1:5" ht="13.5" thickBot="1" x14ac:dyDescent="0.25">
      <c r="A60" s="93"/>
      <c r="B60" s="94"/>
      <c r="C60" s="94"/>
      <c r="D60" s="94"/>
      <c r="E60" s="231">
        <f t="shared" si="4"/>
        <v>0</v>
      </c>
    </row>
    <row r="61" spans="1:5" ht="13.5" thickBot="1" x14ac:dyDescent="0.25">
      <c r="A61" s="232" t="s">
        <v>132</v>
      </c>
      <c r="B61" s="233">
        <f>+B71</f>
        <v>0</v>
      </c>
      <c r="C61" s="233">
        <f>C54+SUM(C56:C60)</f>
        <v>93266</v>
      </c>
      <c r="D61" s="233">
        <f>D54+SUM(D56:D60)</f>
        <v>0</v>
      </c>
      <c r="E61" s="234">
        <f>E54+SUM(E56:E60)</f>
        <v>93266</v>
      </c>
    </row>
    <row r="62" spans="1:5" ht="13.5" thickBot="1" x14ac:dyDescent="0.25">
      <c r="A62" s="53"/>
      <c r="B62" s="53"/>
      <c r="C62" s="53"/>
      <c r="D62" s="53"/>
      <c r="E62" s="53"/>
    </row>
    <row r="63" spans="1:5" ht="13.5" thickBot="1" x14ac:dyDescent="0.25">
      <c r="A63" s="223" t="s">
        <v>131</v>
      </c>
      <c r="B63" s="224">
        <f>+B53</f>
        <v>2018</v>
      </c>
      <c r="C63" s="224">
        <f>+C53</f>
        <v>2019</v>
      </c>
      <c r="D63" s="224">
        <f>+D53</f>
        <v>2020</v>
      </c>
      <c r="E63" s="225" t="s">
        <v>48</v>
      </c>
    </row>
    <row r="64" spans="1:5" x14ac:dyDescent="0.2">
      <c r="A64" s="226" t="s">
        <v>135</v>
      </c>
      <c r="B64" s="90"/>
      <c r="C64" s="90"/>
      <c r="D64" s="90"/>
      <c r="E64" s="227">
        <f t="shared" ref="E64:E70" si="5">SUM(B64:D64)</f>
        <v>0</v>
      </c>
    </row>
    <row r="65" spans="1:5" x14ac:dyDescent="0.2">
      <c r="A65" s="235" t="s">
        <v>136</v>
      </c>
      <c r="B65" s="92"/>
      <c r="C65" s="92">
        <v>90917</v>
      </c>
      <c r="D65" s="92"/>
      <c r="E65" s="231">
        <f t="shared" si="5"/>
        <v>90917</v>
      </c>
    </row>
    <row r="66" spans="1:5" x14ac:dyDescent="0.2">
      <c r="A66" s="230" t="s">
        <v>137</v>
      </c>
      <c r="B66" s="92"/>
      <c r="C66" s="92">
        <v>2349</v>
      </c>
      <c r="D66" s="92"/>
      <c r="E66" s="231">
        <f t="shared" si="5"/>
        <v>2349</v>
      </c>
    </row>
    <row r="67" spans="1:5" x14ac:dyDescent="0.2">
      <c r="A67" s="230" t="s">
        <v>138</v>
      </c>
      <c r="B67" s="92"/>
      <c r="C67" s="92"/>
      <c r="D67" s="92"/>
      <c r="E67" s="231">
        <f t="shared" si="5"/>
        <v>0</v>
      </c>
    </row>
    <row r="68" spans="1:5" x14ac:dyDescent="0.2">
      <c r="A68" s="95"/>
      <c r="B68" s="92"/>
      <c r="C68" s="92"/>
      <c r="D68" s="92"/>
      <c r="E68" s="231">
        <f t="shared" si="5"/>
        <v>0</v>
      </c>
    </row>
    <row r="69" spans="1:5" x14ac:dyDescent="0.2">
      <c r="A69" s="95"/>
      <c r="B69" s="92"/>
      <c r="C69" s="92"/>
      <c r="D69" s="92"/>
      <c r="E69" s="231">
        <f t="shared" si="5"/>
        <v>0</v>
      </c>
    </row>
    <row r="70" spans="1:5" ht="13.5" thickBot="1" x14ac:dyDescent="0.25">
      <c r="A70" s="93"/>
      <c r="B70" s="94"/>
      <c r="C70" s="94"/>
      <c r="D70" s="94"/>
      <c r="E70" s="231">
        <f t="shared" si="5"/>
        <v>0</v>
      </c>
    </row>
    <row r="71" spans="1:5" ht="13.5" thickBot="1" x14ac:dyDescent="0.25">
      <c r="A71" s="232" t="s">
        <v>50</v>
      </c>
      <c r="B71" s="233">
        <f>SUM(B64:B70)</f>
        <v>0</v>
      </c>
      <c r="C71" s="233">
        <f>SUM(C64:C70)</f>
        <v>93266</v>
      </c>
      <c r="D71" s="233">
        <f>SUM(D64:D70)</f>
        <v>0</v>
      </c>
      <c r="E71" s="234">
        <f>SUM(E64:E70)</f>
        <v>93266</v>
      </c>
    </row>
    <row r="72" spans="1:5" x14ac:dyDescent="0.2">
      <c r="A72" s="586"/>
      <c r="B72" s="587"/>
      <c r="C72" s="587"/>
      <c r="D72" s="587"/>
      <c r="E72" s="587"/>
    </row>
    <row r="73" spans="1:5" x14ac:dyDescent="0.2">
      <c r="A73" s="586"/>
      <c r="B73" s="587"/>
      <c r="C73" s="587"/>
      <c r="D73" s="587"/>
      <c r="E73" s="587"/>
    </row>
    <row r="74" spans="1:5" ht="29.25" customHeight="1" x14ac:dyDescent="0.2">
      <c r="A74" s="588" t="s">
        <v>133</v>
      </c>
      <c r="B74" s="698" t="s">
        <v>649</v>
      </c>
      <c r="C74" s="698"/>
      <c r="D74" s="698"/>
      <c r="E74" s="698"/>
    </row>
    <row r="75" spans="1:5" ht="14.25" thickBot="1" x14ac:dyDescent="0.3">
      <c r="A75" s="222"/>
      <c r="B75" s="222"/>
      <c r="C75" s="222"/>
      <c r="D75" s="699" t="s">
        <v>126</v>
      </c>
      <c r="E75" s="699"/>
    </row>
    <row r="76" spans="1:5" ht="13.5" thickBot="1" x14ac:dyDescent="0.25">
      <c r="A76" s="223" t="s">
        <v>125</v>
      </c>
      <c r="B76" s="224">
        <f>+B63</f>
        <v>2018</v>
      </c>
      <c r="C76" s="224">
        <f>+C63</f>
        <v>2019</v>
      </c>
      <c r="D76" s="224">
        <f>+D63</f>
        <v>2020</v>
      </c>
      <c r="E76" s="225" t="s">
        <v>48</v>
      </c>
    </row>
    <row r="77" spans="1:5" x14ac:dyDescent="0.2">
      <c r="A77" s="226" t="s">
        <v>127</v>
      </c>
      <c r="B77" s="90"/>
      <c r="C77" s="90"/>
      <c r="D77" s="90"/>
      <c r="E77" s="227">
        <f t="shared" ref="E77:E83" si="6">SUM(B77:D77)</f>
        <v>0</v>
      </c>
    </row>
    <row r="78" spans="1:5" x14ac:dyDescent="0.2">
      <c r="A78" s="228" t="s">
        <v>139</v>
      </c>
      <c r="B78" s="91"/>
      <c r="C78" s="91"/>
      <c r="D78" s="91"/>
      <c r="E78" s="229">
        <f t="shared" si="6"/>
        <v>0</v>
      </c>
    </row>
    <row r="79" spans="1:5" x14ac:dyDescent="0.2">
      <c r="A79" s="230" t="s">
        <v>128</v>
      </c>
      <c r="B79" s="92"/>
      <c r="C79" s="92">
        <v>83999</v>
      </c>
      <c r="D79" s="92"/>
      <c r="E79" s="231">
        <f t="shared" si="6"/>
        <v>83999</v>
      </c>
    </row>
    <row r="80" spans="1:5" x14ac:dyDescent="0.2">
      <c r="A80" s="230" t="s">
        <v>140</v>
      </c>
      <c r="B80" s="92"/>
      <c r="C80" s="92"/>
      <c r="D80" s="92"/>
      <c r="E80" s="231">
        <f t="shared" si="6"/>
        <v>0</v>
      </c>
    </row>
    <row r="81" spans="1:5" x14ac:dyDescent="0.2">
      <c r="A81" s="230" t="s">
        <v>129</v>
      </c>
      <c r="B81" s="92"/>
      <c r="C81" s="92"/>
      <c r="D81" s="92"/>
      <c r="E81" s="231">
        <f t="shared" si="6"/>
        <v>0</v>
      </c>
    </row>
    <row r="82" spans="1:5" x14ac:dyDescent="0.2">
      <c r="A82" s="230" t="s">
        <v>130</v>
      </c>
      <c r="B82" s="92"/>
      <c r="C82" s="92"/>
      <c r="D82" s="92"/>
      <c r="E82" s="231">
        <f t="shared" si="6"/>
        <v>0</v>
      </c>
    </row>
    <row r="83" spans="1:5" ht="13.5" thickBot="1" x14ac:dyDescent="0.25">
      <c r="A83" s="93"/>
      <c r="B83" s="94"/>
      <c r="C83" s="94"/>
      <c r="D83" s="94"/>
      <c r="E83" s="231">
        <f t="shared" si="6"/>
        <v>0</v>
      </c>
    </row>
    <row r="84" spans="1:5" ht="13.5" thickBot="1" x14ac:dyDescent="0.25">
      <c r="A84" s="232" t="s">
        <v>132</v>
      </c>
      <c r="B84" s="233">
        <f>B77+SUM(B79:B83)</f>
        <v>0</v>
      </c>
      <c r="C84" s="233">
        <f>C77+SUM(C79:C83)</f>
        <v>83999</v>
      </c>
      <c r="D84" s="233">
        <f>D77+SUM(D79:D83)</f>
        <v>0</v>
      </c>
      <c r="E84" s="234">
        <f>E77+SUM(E79:E83)</f>
        <v>83999</v>
      </c>
    </row>
    <row r="85" spans="1:5" ht="13.5" thickBot="1" x14ac:dyDescent="0.25">
      <c r="A85" s="53"/>
      <c r="B85" s="53"/>
      <c r="C85" s="53"/>
      <c r="D85" s="53"/>
      <c r="E85" s="53"/>
    </row>
    <row r="86" spans="1:5" ht="13.5" thickBot="1" x14ac:dyDescent="0.25">
      <c r="A86" s="223" t="s">
        <v>131</v>
      </c>
      <c r="B86" s="224">
        <f>+B76</f>
        <v>2018</v>
      </c>
      <c r="C86" s="224">
        <f>+C76</f>
        <v>2019</v>
      </c>
      <c r="D86" s="224">
        <f>+D76</f>
        <v>2020</v>
      </c>
      <c r="E86" s="225" t="s">
        <v>48</v>
      </c>
    </row>
    <row r="87" spans="1:5" x14ac:dyDescent="0.2">
      <c r="A87" s="226" t="s">
        <v>135</v>
      </c>
      <c r="B87" s="90"/>
      <c r="C87" s="90"/>
      <c r="D87" s="90"/>
      <c r="E87" s="227">
        <f t="shared" ref="E87:E93" si="7">SUM(B87:D87)</f>
        <v>0</v>
      </c>
    </row>
    <row r="88" spans="1:5" x14ac:dyDescent="0.2">
      <c r="A88" s="235" t="s">
        <v>136</v>
      </c>
      <c r="B88" s="92"/>
      <c r="C88" s="92">
        <v>75884</v>
      </c>
      <c r="D88" s="92"/>
      <c r="E88" s="231">
        <f t="shared" si="7"/>
        <v>75884</v>
      </c>
    </row>
    <row r="89" spans="1:5" x14ac:dyDescent="0.2">
      <c r="A89" s="230" t="s">
        <v>137</v>
      </c>
      <c r="B89" s="92"/>
      <c r="C89" s="92">
        <v>8115</v>
      </c>
      <c r="D89" s="92"/>
      <c r="E89" s="231">
        <f t="shared" si="7"/>
        <v>8115</v>
      </c>
    </row>
    <row r="90" spans="1:5" x14ac:dyDescent="0.2">
      <c r="A90" s="230" t="s">
        <v>138</v>
      </c>
      <c r="B90" s="92"/>
      <c r="C90" s="92"/>
      <c r="D90" s="92"/>
      <c r="E90" s="231">
        <f t="shared" si="7"/>
        <v>0</v>
      </c>
    </row>
    <row r="91" spans="1:5" x14ac:dyDescent="0.2">
      <c r="A91" s="95"/>
      <c r="B91" s="92"/>
      <c r="C91" s="92"/>
      <c r="D91" s="92"/>
      <c r="E91" s="231">
        <f t="shared" si="7"/>
        <v>0</v>
      </c>
    </row>
    <row r="92" spans="1:5" x14ac:dyDescent="0.2">
      <c r="A92" s="95"/>
      <c r="B92" s="92"/>
      <c r="C92" s="92"/>
      <c r="D92" s="92"/>
      <c r="E92" s="231">
        <f t="shared" si="7"/>
        <v>0</v>
      </c>
    </row>
    <row r="93" spans="1:5" ht="13.5" thickBot="1" x14ac:dyDescent="0.25">
      <c r="A93" s="93"/>
      <c r="B93" s="94"/>
      <c r="C93" s="94"/>
      <c r="D93" s="94"/>
      <c r="E93" s="231">
        <f t="shared" si="7"/>
        <v>0</v>
      </c>
    </row>
    <row r="94" spans="1:5" ht="13.5" thickBot="1" x14ac:dyDescent="0.25">
      <c r="A94" s="232" t="s">
        <v>50</v>
      </c>
      <c r="B94" s="233">
        <f>SUM(B87:B93)</f>
        <v>0</v>
      </c>
      <c r="C94" s="233">
        <f>SUM(C87:C93)</f>
        <v>83999</v>
      </c>
      <c r="D94" s="233">
        <f>SUM(D87:D93)</f>
        <v>0</v>
      </c>
      <c r="E94" s="234">
        <f>SUM(E87:E93)</f>
        <v>83999</v>
      </c>
    </row>
    <row r="95" spans="1:5" x14ac:dyDescent="0.2">
      <c r="A95" s="586"/>
      <c r="B95" s="587"/>
      <c r="C95" s="587"/>
      <c r="D95" s="587"/>
      <c r="E95" s="587"/>
    </row>
    <row r="96" spans="1:5" x14ac:dyDescent="0.2">
      <c r="A96" s="586"/>
      <c r="B96" s="587"/>
      <c r="C96" s="587"/>
      <c r="D96" s="587"/>
      <c r="E96" s="587"/>
    </row>
    <row r="97" spans="1:5" ht="32.25" customHeight="1" x14ac:dyDescent="0.2">
      <c r="A97" s="588" t="s">
        <v>133</v>
      </c>
      <c r="B97" s="698" t="s">
        <v>650</v>
      </c>
      <c r="C97" s="698"/>
      <c r="D97" s="698"/>
      <c r="E97" s="698"/>
    </row>
    <row r="98" spans="1:5" ht="14.25" thickBot="1" x14ac:dyDescent="0.3">
      <c r="A98" s="222"/>
      <c r="B98" s="222"/>
      <c r="C98" s="222"/>
      <c r="D98" s="699" t="s">
        <v>126</v>
      </c>
      <c r="E98" s="699"/>
    </row>
    <row r="99" spans="1:5" ht="13.5" thickBot="1" x14ac:dyDescent="0.25">
      <c r="A99" s="223" t="s">
        <v>125</v>
      </c>
      <c r="B99" s="224">
        <f>+B86</f>
        <v>2018</v>
      </c>
      <c r="C99" s="224">
        <f>+C86</f>
        <v>2019</v>
      </c>
      <c r="D99" s="224">
        <f>+D86</f>
        <v>2020</v>
      </c>
      <c r="E99" s="225" t="s">
        <v>48</v>
      </c>
    </row>
    <row r="100" spans="1:5" x14ac:dyDescent="0.2">
      <c r="A100" s="226" t="s">
        <v>127</v>
      </c>
      <c r="B100" s="90"/>
      <c r="C100" s="90">
        <f>+C117-C102</f>
        <v>-3794</v>
      </c>
      <c r="D100" s="90"/>
      <c r="E100" s="227">
        <f t="shared" ref="E100:E106" si="8">SUM(B100:D100)</f>
        <v>-3794</v>
      </c>
    </row>
    <row r="101" spans="1:5" x14ac:dyDescent="0.2">
      <c r="A101" s="228" t="s">
        <v>139</v>
      </c>
      <c r="B101" s="91"/>
      <c r="C101" s="91"/>
      <c r="D101" s="91"/>
      <c r="E101" s="229">
        <f t="shared" si="8"/>
        <v>0</v>
      </c>
    </row>
    <row r="102" spans="1:5" x14ac:dyDescent="0.2">
      <c r="A102" s="230" t="s">
        <v>128</v>
      </c>
      <c r="B102" s="92"/>
      <c r="C102" s="92">
        <v>289036</v>
      </c>
      <c r="D102" s="92"/>
      <c r="E102" s="231">
        <f t="shared" si="8"/>
        <v>289036</v>
      </c>
    </row>
    <row r="103" spans="1:5" x14ac:dyDescent="0.2">
      <c r="A103" s="230" t="s">
        <v>140</v>
      </c>
      <c r="B103" s="92"/>
      <c r="C103" s="92"/>
      <c r="D103" s="92"/>
      <c r="E103" s="231">
        <f t="shared" si="8"/>
        <v>0</v>
      </c>
    </row>
    <row r="104" spans="1:5" x14ac:dyDescent="0.2">
      <c r="A104" s="230" t="s">
        <v>129</v>
      </c>
      <c r="B104" s="92"/>
      <c r="C104" s="92"/>
      <c r="D104" s="92"/>
      <c r="E104" s="231">
        <f t="shared" si="8"/>
        <v>0</v>
      </c>
    </row>
    <row r="105" spans="1:5" x14ac:dyDescent="0.2">
      <c r="A105" s="230" t="s">
        <v>130</v>
      </c>
      <c r="B105" s="92"/>
      <c r="C105" s="92"/>
      <c r="D105" s="92"/>
      <c r="E105" s="231">
        <f t="shared" si="8"/>
        <v>0</v>
      </c>
    </row>
    <row r="106" spans="1:5" ht="13.5" thickBot="1" x14ac:dyDescent="0.25">
      <c r="A106" s="93"/>
      <c r="B106" s="94"/>
      <c r="C106" s="94"/>
      <c r="D106" s="94"/>
      <c r="E106" s="231">
        <f t="shared" si="8"/>
        <v>0</v>
      </c>
    </row>
    <row r="107" spans="1:5" ht="13.5" thickBot="1" x14ac:dyDescent="0.25">
      <c r="A107" s="232" t="s">
        <v>132</v>
      </c>
      <c r="B107" s="233">
        <f>B100+SUM(B102:B106)</f>
        <v>0</v>
      </c>
      <c r="C107" s="233">
        <f>C100+SUM(C102:C106)</f>
        <v>285242</v>
      </c>
      <c r="D107" s="233">
        <f>D100+SUM(D102:D106)</f>
        <v>0</v>
      </c>
      <c r="E107" s="234">
        <f>E100+SUM(E102:E106)</f>
        <v>285242</v>
      </c>
    </row>
    <row r="108" spans="1:5" ht="13.5" thickBot="1" x14ac:dyDescent="0.25">
      <c r="A108" s="53"/>
      <c r="B108" s="53"/>
      <c r="C108" s="53"/>
      <c r="D108" s="53"/>
      <c r="E108" s="53"/>
    </row>
    <row r="109" spans="1:5" ht="13.5" thickBot="1" x14ac:dyDescent="0.25">
      <c r="A109" s="223" t="s">
        <v>131</v>
      </c>
      <c r="B109" s="224">
        <f>+B99</f>
        <v>2018</v>
      </c>
      <c r="C109" s="224">
        <f>+C99</f>
        <v>2019</v>
      </c>
      <c r="D109" s="224">
        <f>+D99</f>
        <v>2020</v>
      </c>
      <c r="E109" s="225" t="s">
        <v>48</v>
      </c>
    </row>
    <row r="110" spans="1:5" x14ac:dyDescent="0.2">
      <c r="A110" s="226" t="s">
        <v>135</v>
      </c>
      <c r="B110" s="90"/>
      <c r="C110" s="90"/>
      <c r="D110" s="90"/>
      <c r="E110" s="227">
        <f t="shared" ref="E110:E116" si="9">SUM(B110:D110)</f>
        <v>0</v>
      </c>
    </row>
    <row r="111" spans="1:5" x14ac:dyDescent="0.2">
      <c r="A111" s="235" t="s">
        <v>136</v>
      </c>
      <c r="B111" s="92"/>
      <c r="C111" s="92">
        <v>278985</v>
      </c>
      <c r="D111" s="92"/>
      <c r="E111" s="231">
        <f t="shared" si="9"/>
        <v>278985</v>
      </c>
    </row>
    <row r="112" spans="1:5" x14ac:dyDescent="0.2">
      <c r="A112" s="230" t="s">
        <v>137</v>
      </c>
      <c r="B112" s="92"/>
      <c r="C112" s="92">
        <v>6257</v>
      </c>
      <c r="D112" s="92"/>
      <c r="E112" s="231">
        <f t="shared" si="9"/>
        <v>6257</v>
      </c>
    </row>
    <row r="113" spans="1:5" x14ac:dyDescent="0.2">
      <c r="A113" s="230" t="s">
        <v>138</v>
      </c>
      <c r="B113" s="92"/>
      <c r="C113" s="92"/>
      <c r="D113" s="92"/>
      <c r="E113" s="231">
        <f t="shared" si="9"/>
        <v>0</v>
      </c>
    </row>
    <row r="114" spans="1:5" x14ac:dyDescent="0.2">
      <c r="A114" s="95"/>
      <c r="B114" s="92"/>
      <c r="C114" s="92"/>
      <c r="D114" s="92"/>
      <c r="E114" s="231">
        <f t="shared" si="9"/>
        <v>0</v>
      </c>
    </row>
    <row r="115" spans="1:5" x14ac:dyDescent="0.2">
      <c r="A115" s="95"/>
      <c r="B115" s="92"/>
      <c r="C115" s="92"/>
      <c r="D115" s="92"/>
      <c r="E115" s="231">
        <f t="shared" si="9"/>
        <v>0</v>
      </c>
    </row>
    <row r="116" spans="1:5" ht="13.5" thickBot="1" x14ac:dyDescent="0.25">
      <c r="A116" s="93"/>
      <c r="B116" s="94"/>
      <c r="C116" s="94"/>
      <c r="D116" s="94"/>
      <c r="E116" s="231">
        <f t="shared" si="9"/>
        <v>0</v>
      </c>
    </row>
    <row r="117" spans="1:5" ht="13.5" thickBot="1" x14ac:dyDescent="0.25">
      <c r="A117" s="232" t="s">
        <v>50</v>
      </c>
      <c r="B117" s="233">
        <f>SUM(B110:B116)</f>
        <v>0</v>
      </c>
      <c r="C117" s="233">
        <f>SUM(C110:C116)</f>
        <v>285242</v>
      </c>
      <c r="D117" s="233">
        <f>SUM(D110:D116)</f>
        <v>0</v>
      </c>
      <c r="E117" s="234">
        <f>SUM(E110:E116)</f>
        <v>285242</v>
      </c>
    </row>
    <row r="118" spans="1:5" x14ac:dyDescent="0.2">
      <c r="A118" s="586"/>
      <c r="B118" s="587"/>
      <c r="C118" s="587"/>
      <c r="D118" s="587"/>
      <c r="E118" s="587"/>
    </row>
    <row r="119" spans="1:5" x14ac:dyDescent="0.2">
      <c r="A119" s="586"/>
      <c r="B119" s="587"/>
      <c r="C119" s="587"/>
      <c r="D119" s="587"/>
      <c r="E119" s="587"/>
    </row>
    <row r="120" spans="1:5" ht="40.5" customHeight="1" x14ac:dyDescent="0.2">
      <c r="A120" s="588" t="s">
        <v>133</v>
      </c>
      <c r="B120" s="698" t="s">
        <v>651</v>
      </c>
      <c r="C120" s="698"/>
      <c r="D120" s="698"/>
      <c r="E120" s="698"/>
    </row>
    <row r="121" spans="1:5" ht="14.25" thickBot="1" x14ac:dyDescent="0.3">
      <c r="A121" s="222"/>
      <c r="B121" s="222"/>
      <c r="C121" s="222"/>
      <c r="D121" s="699" t="s">
        <v>126</v>
      </c>
      <c r="E121" s="699"/>
    </row>
    <row r="122" spans="1:5" ht="13.5" thickBot="1" x14ac:dyDescent="0.25">
      <c r="A122" s="223" t="s">
        <v>125</v>
      </c>
      <c r="B122" s="224">
        <f>+B109</f>
        <v>2018</v>
      </c>
      <c r="C122" s="224">
        <f>+C109</f>
        <v>2019</v>
      </c>
      <c r="D122" s="224">
        <f>+D109</f>
        <v>2020</v>
      </c>
      <c r="E122" s="225" t="s">
        <v>48</v>
      </c>
    </row>
    <row r="123" spans="1:5" x14ac:dyDescent="0.2">
      <c r="A123" s="226" t="s">
        <v>127</v>
      </c>
      <c r="B123" s="90"/>
      <c r="C123" s="90">
        <f>+C140-C125</f>
        <v>-1333</v>
      </c>
      <c r="D123" s="90"/>
      <c r="E123" s="227">
        <f t="shared" ref="E123:E129" si="10">SUM(B123:D123)</f>
        <v>-1333</v>
      </c>
    </row>
    <row r="124" spans="1:5" x14ac:dyDescent="0.2">
      <c r="A124" s="228" t="s">
        <v>139</v>
      </c>
      <c r="B124" s="91"/>
      <c r="C124" s="91"/>
      <c r="D124" s="91"/>
      <c r="E124" s="229">
        <f t="shared" si="10"/>
        <v>0</v>
      </c>
    </row>
    <row r="125" spans="1:5" x14ac:dyDescent="0.2">
      <c r="A125" s="230" t="s">
        <v>128</v>
      </c>
      <c r="B125" s="92">
        <f>+B140-B123</f>
        <v>0</v>
      </c>
      <c r="C125" s="92">
        <v>5242</v>
      </c>
      <c r="D125" s="92">
        <f>+D140-D123</f>
        <v>0</v>
      </c>
      <c r="E125" s="231">
        <f t="shared" si="10"/>
        <v>5242</v>
      </c>
    </row>
    <row r="126" spans="1:5" x14ac:dyDescent="0.2">
      <c r="A126" s="230" t="s">
        <v>140</v>
      </c>
      <c r="B126" s="92"/>
      <c r="C126" s="92"/>
      <c r="D126" s="92"/>
      <c r="E126" s="231">
        <f t="shared" si="10"/>
        <v>0</v>
      </c>
    </row>
    <row r="127" spans="1:5" x14ac:dyDescent="0.2">
      <c r="A127" s="230" t="s">
        <v>129</v>
      </c>
      <c r="B127" s="92"/>
      <c r="C127" s="92"/>
      <c r="D127" s="92"/>
      <c r="E127" s="231">
        <f t="shared" si="10"/>
        <v>0</v>
      </c>
    </row>
    <row r="128" spans="1:5" x14ac:dyDescent="0.2">
      <c r="A128" s="230" t="s">
        <v>130</v>
      </c>
      <c r="B128" s="92"/>
      <c r="C128" s="92"/>
      <c r="D128" s="92"/>
      <c r="E128" s="231">
        <f t="shared" si="10"/>
        <v>0</v>
      </c>
    </row>
    <row r="129" spans="1:5" ht="13.5" thickBot="1" x14ac:dyDescent="0.25">
      <c r="A129" s="93"/>
      <c r="B129" s="94"/>
      <c r="C129" s="94"/>
      <c r="D129" s="94"/>
      <c r="E129" s="231">
        <f t="shared" si="10"/>
        <v>0</v>
      </c>
    </row>
    <row r="130" spans="1:5" ht="13.5" thickBot="1" x14ac:dyDescent="0.25">
      <c r="A130" s="232" t="s">
        <v>132</v>
      </c>
      <c r="B130" s="233">
        <f>B123+SUM(B125:B129)</f>
        <v>0</v>
      </c>
      <c r="C130" s="233">
        <f>C123+SUM(C125:C129)</f>
        <v>3909</v>
      </c>
      <c r="D130" s="233">
        <f>D123+SUM(D125:D129)</f>
        <v>0</v>
      </c>
      <c r="E130" s="234">
        <f>E123+SUM(E125:E129)</f>
        <v>3909</v>
      </c>
    </row>
    <row r="131" spans="1:5" ht="13.5" thickBot="1" x14ac:dyDescent="0.25">
      <c r="A131" s="53"/>
      <c r="B131" s="53"/>
      <c r="C131" s="53"/>
      <c r="D131" s="53"/>
      <c r="E131" s="53"/>
    </row>
    <row r="132" spans="1:5" ht="13.5" thickBot="1" x14ac:dyDescent="0.25">
      <c r="A132" s="223" t="s">
        <v>131</v>
      </c>
      <c r="B132" s="224">
        <f>+B122</f>
        <v>2018</v>
      </c>
      <c r="C132" s="224">
        <f>+C122</f>
        <v>2019</v>
      </c>
      <c r="D132" s="224">
        <f>+D122</f>
        <v>2020</v>
      </c>
      <c r="E132" s="225" t="s">
        <v>48</v>
      </c>
    </row>
    <row r="133" spans="1:5" x14ac:dyDescent="0.2">
      <c r="A133" s="226" t="s">
        <v>135</v>
      </c>
      <c r="B133" s="90"/>
      <c r="C133" s="90">
        <f>2400+468</f>
        <v>2868</v>
      </c>
      <c r="D133" s="90"/>
      <c r="E133" s="227">
        <f t="shared" ref="E133:E139" si="11">SUM(B133:D133)</f>
        <v>2868</v>
      </c>
    </row>
    <row r="134" spans="1:5" x14ac:dyDescent="0.2">
      <c r="A134" s="235" t="s">
        <v>136</v>
      </c>
      <c r="B134" s="92"/>
      <c r="C134" s="92"/>
      <c r="D134" s="92"/>
      <c r="E134" s="231">
        <f t="shared" si="11"/>
        <v>0</v>
      </c>
    </row>
    <row r="135" spans="1:5" x14ac:dyDescent="0.2">
      <c r="A135" s="230" t="s">
        <v>137</v>
      </c>
      <c r="B135" s="92"/>
      <c r="C135" s="92">
        <f>1041-C136</f>
        <v>718</v>
      </c>
      <c r="D135" s="92"/>
      <c r="E135" s="231">
        <f t="shared" si="11"/>
        <v>718</v>
      </c>
    </row>
    <row r="136" spans="1:5" x14ac:dyDescent="0.2">
      <c r="A136" s="230" t="s">
        <v>138</v>
      </c>
      <c r="B136" s="92"/>
      <c r="C136" s="92">
        <v>323</v>
      </c>
      <c r="D136" s="92"/>
      <c r="E136" s="231">
        <f t="shared" si="11"/>
        <v>323</v>
      </c>
    </row>
    <row r="137" spans="1:5" x14ac:dyDescent="0.2">
      <c r="A137" s="95"/>
      <c r="B137" s="92"/>
      <c r="C137" s="92"/>
      <c r="D137" s="92"/>
      <c r="E137" s="231">
        <f t="shared" si="11"/>
        <v>0</v>
      </c>
    </row>
    <row r="138" spans="1:5" x14ac:dyDescent="0.2">
      <c r="A138" s="95"/>
      <c r="B138" s="92"/>
      <c r="C138" s="92"/>
      <c r="D138" s="92"/>
      <c r="E138" s="231">
        <f t="shared" si="11"/>
        <v>0</v>
      </c>
    </row>
    <row r="139" spans="1:5" ht="13.5" thickBot="1" x14ac:dyDescent="0.25">
      <c r="A139" s="93"/>
      <c r="B139" s="94"/>
      <c r="C139" s="94"/>
      <c r="D139" s="94"/>
      <c r="E139" s="231">
        <f t="shared" si="11"/>
        <v>0</v>
      </c>
    </row>
    <row r="140" spans="1:5" ht="13.5" thickBot="1" x14ac:dyDescent="0.25">
      <c r="A140" s="232" t="s">
        <v>50</v>
      </c>
      <c r="B140" s="233">
        <f>SUM(B133:B139)</f>
        <v>0</v>
      </c>
      <c r="C140" s="233">
        <f>SUM(C133:C139)</f>
        <v>3909</v>
      </c>
      <c r="D140" s="233">
        <f>SUM(D133:D139)</f>
        <v>0</v>
      </c>
      <c r="E140" s="234">
        <f>SUM(E133:E139)</f>
        <v>3909</v>
      </c>
    </row>
    <row r="141" spans="1:5" x14ac:dyDescent="0.2">
      <c r="A141" s="586"/>
      <c r="B141" s="587"/>
      <c r="C141" s="587"/>
      <c r="D141" s="587"/>
      <c r="E141" s="587"/>
    </row>
    <row r="142" spans="1:5" x14ac:dyDescent="0.2">
      <c r="A142" s="586"/>
      <c r="B142" s="587"/>
      <c r="C142" s="587"/>
      <c r="D142" s="587"/>
      <c r="E142" s="587"/>
    </row>
    <row r="143" spans="1:5" ht="42" customHeight="1" x14ac:dyDescent="0.2">
      <c r="A143" s="588" t="s">
        <v>133</v>
      </c>
      <c r="B143" s="698" t="s">
        <v>652</v>
      </c>
      <c r="C143" s="698"/>
      <c r="D143" s="698"/>
      <c r="E143" s="698"/>
    </row>
    <row r="144" spans="1:5" ht="14.25" thickBot="1" x14ac:dyDescent="0.3">
      <c r="A144" s="222"/>
      <c r="B144" s="222"/>
      <c r="C144" s="222"/>
      <c r="D144" s="699" t="s">
        <v>126</v>
      </c>
      <c r="E144" s="699"/>
    </row>
    <row r="145" spans="1:5" ht="13.5" thickBot="1" x14ac:dyDescent="0.25">
      <c r="A145" s="223" t="s">
        <v>125</v>
      </c>
      <c r="B145" s="224">
        <f>+B132</f>
        <v>2018</v>
      </c>
      <c r="C145" s="224">
        <f>+C132</f>
        <v>2019</v>
      </c>
      <c r="D145" s="224">
        <f>+D132</f>
        <v>2020</v>
      </c>
      <c r="E145" s="225" t="s">
        <v>48</v>
      </c>
    </row>
    <row r="146" spans="1:5" x14ac:dyDescent="0.2">
      <c r="A146" s="226" t="s">
        <v>127</v>
      </c>
      <c r="B146" s="90"/>
      <c r="C146" s="90">
        <f>+C163-C148</f>
        <v>1671</v>
      </c>
      <c r="D146" s="90"/>
      <c r="E146" s="227">
        <f t="shared" ref="E146:E152" si="12">SUM(B146:D146)</f>
        <v>1671</v>
      </c>
    </row>
    <row r="147" spans="1:5" x14ac:dyDescent="0.2">
      <c r="A147" s="228" t="s">
        <v>139</v>
      </c>
      <c r="B147" s="91"/>
      <c r="C147" s="91"/>
      <c r="D147" s="91"/>
      <c r="E147" s="229">
        <f t="shared" si="12"/>
        <v>0</v>
      </c>
    </row>
    <row r="148" spans="1:5" x14ac:dyDescent="0.2">
      <c r="A148" s="230" t="s">
        <v>128</v>
      </c>
      <c r="B148" s="92"/>
      <c r="C148" s="92">
        <v>29323</v>
      </c>
      <c r="D148" s="92"/>
      <c r="E148" s="231">
        <f t="shared" si="12"/>
        <v>29323</v>
      </c>
    </row>
    <row r="149" spans="1:5" x14ac:dyDescent="0.2">
      <c r="A149" s="230" t="s">
        <v>140</v>
      </c>
      <c r="B149" s="92"/>
      <c r="C149" s="92"/>
      <c r="D149" s="92"/>
      <c r="E149" s="231">
        <f t="shared" si="12"/>
        <v>0</v>
      </c>
    </row>
    <row r="150" spans="1:5" x14ac:dyDescent="0.2">
      <c r="A150" s="230" t="s">
        <v>129</v>
      </c>
      <c r="B150" s="92"/>
      <c r="C150" s="92"/>
      <c r="D150" s="92"/>
      <c r="E150" s="231">
        <f t="shared" si="12"/>
        <v>0</v>
      </c>
    </row>
    <row r="151" spans="1:5" x14ac:dyDescent="0.2">
      <c r="A151" s="230" t="s">
        <v>130</v>
      </c>
      <c r="B151" s="92"/>
      <c r="C151" s="92"/>
      <c r="D151" s="92"/>
      <c r="E151" s="231">
        <f t="shared" si="12"/>
        <v>0</v>
      </c>
    </row>
    <row r="152" spans="1:5" ht="13.5" thickBot="1" x14ac:dyDescent="0.25">
      <c r="A152" s="93"/>
      <c r="B152" s="94"/>
      <c r="C152" s="94"/>
      <c r="D152" s="94"/>
      <c r="E152" s="231">
        <f t="shared" si="12"/>
        <v>0</v>
      </c>
    </row>
    <row r="153" spans="1:5" ht="13.5" thickBot="1" x14ac:dyDescent="0.25">
      <c r="A153" s="232" t="s">
        <v>132</v>
      </c>
      <c r="B153" s="233">
        <f>B146+SUM(B148:B152)</f>
        <v>0</v>
      </c>
      <c r="C153" s="233">
        <f>C146+SUM(C148:C152)</f>
        <v>30994</v>
      </c>
      <c r="D153" s="233">
        <f>D146+SUM(D148:D152)</f>
        <v>0</v>
      </c>
      <c r="E153" s="234">
        <f>E146+SUM(E148:E152)</f>
        <v>30994</v>
      </c>
    </row>
    <row r="154" spans="1:5" ht="13.5" thickBot="1" x14ac:dyDescent="0.25">
      <c r="A154" s="53"/>
      <c r="B154" s="53"/>
      <c r="C154" s="53"/>
      <c r="D154" s="53"/>
      <c r="E154" s="53"/>
    </row>
    <row r="155" spans="1:5" ht="13.5" thickBot="1" x14ac:dyDescent="0.25">
      <c r="A155" s="223" t="s">
        <v>131</v>
      </c>
      <c r="B155" s="224">
        <f>+B145</f>
        <v>2018</v>
      </c>
      <c r="C155" s="224">
        <f>+C145</f>
        <v>2019</v>
      </c>
      <c r="D155" s="224">
        <f>+D145</f>
        <v>2020</v>
      </c>
      <c r="E155" s="225" t="s">
        <v>48</v>
      </c>
    </row>
    <row r="156" spans="1:5" x14ac:dyDescent="0.2">
      <c r="A156" s="226" t="s">
        <v>135</v>
      </c>
      <c r="B156" s="90"/>
      <c r="C156" s="90">
        <f>9826+1916</f>
        <v>11742</v>
      </c>
      <c r="D156" s="90"/>
      <c r="E156" s="227">
        <f t="shared" ref="E156:E162" si="13">SUM(B156:D156)</f>
        <v>11742</v>
      </c>
    </row>
    <row r="157" spans="1:5" x14ac:dyDescent="0.2">
      <c r="A157" s="235" t="s">
        <v>136</v>
      </c>
      <c r="B157" s="92"/>
      <c r="C157" s="92">
        <v>19252</v>
      </c>
      <c r="D157" s="92"/>
      <c r="E157" s="231">
        <f t="shared" si="13"/>
        <v>19252</v>
      </c>
    </row>
    <row r="158" spans="1:5" x14ac:dyDescent="0.2">
      <c r="A158" s="230" t="s">
        <v>137</v>
      </c>
      <c r="B158" s="92"/>
      <c r="C158" s="92"/>
      <c r="D158" s="92"/>
      <c r="E158" s="231">
        <f t="shared" si="13"/>
        <v>0</v>
      </c>
    </row>
    <row r="159" spans="1:5" x14ac:dyDescent="0.2">
      <c r="A159" s="230" t="s">
        <v>138</v>
      </c>
      <c r="B159" s="92"/>
      <c r="C159" s="92"/>
      <c r="D159" s="92"/>
      <c r="E159" s="231">
        <f t="shared" si="13"/>
        <v>0</v>
      </c>
    </row>
    <row r="160" spans="1:5" x14ac:dyDescent="0.2">
      <c r="A160" s="95"/>
      <c r="B160" s="92"/>
      <c r="C160" s="92"/>
      <c r="D160" s="92"/>
      <c r="E160" s="231">
        <f t="shared" si="13"/>
        <v>0</v>
      </c>
    </row>
    <row r="161" spans="1:5" x14ac:dyDescent="0.2">
      <c r="A161" s="95"/>
      <c r="B161" s="92"/>
      <c r="C161" s="92"/>
      <c r="D161" s="92"/>
      <c r="E161" s="231">
        <f t="shared" si="13"/>
        <v>0</v>
      </c>
    </row>
    <row r="162" spans="1:5" ht="13.5" thickBot="1" x14ac:dyDescent="0.25">
      <c r="A162" s="93"/>
      <c r="B162" s="94"/>
      <c r="C162" s="94"/>
      <c r="D162" s="94"/>
      <c r="E162" s="231">
        <f t="shared" si="13"/>
        <v>0</v>
      </c>
    </row>
    <row r="163" spans="1:5" ht="13.5" thickBot="1" x14ac:dyDescent="0.25">
      <c r="A163" s="232" t="s">
        <v>50</v>
      </c>
      <c r="B163" s="233">
        <f>SUM(B156:B162)</f>
        <v>0</v>
      </c>
      <c r="C163" s="233">
        <f>SUM(C156:C162)</f>
        <v>30994</v>
      </c>
      <c r="D163" s="233">
        <f>SUM(D156:D162)</f>
        <v>0</v>
      </c>
      <c r="E163" s="234">
        <f>SUM(E156:E162)</f>
        <v>30994</v>
      </c>
    </row>
    <row r="164" spans="1:5" x14ac:dyDescent="0.2">
      <c r="A164" s="586"/>
      <c r="B164" s="587"/>
      <c r="C164" s="587"/>
      <c r="D164" s="587"/>
      <c r="E164" s="587"/>
    </row>
    <row r="165" spans="1:5" x14ac:dyDescent="0.2">
      <c r="A165" s="586"/>
      <c r="B165" s="587"/>
      <c r="C165" s="587"/>
      <c r="D165" s="587"/>
      <c r="E165" s="587"/>
    </row>
    <row r="166" spans="1:5" ht="36.75" customHeight="1" x14ac:dyDescent="0.2">
      <c r="A166" s="588" t="s">
        <v>133</v>
      </c>
      <c r="B166" s="698" t="s">
        <v>718</v>
      </c>
      <c r="C166" s="698"/>
      <c r="D166" s="698"/>
      <c r="E166" s="698"/>
    </row>
    <row r="167" spans="1:5" ht="14.25" thickBot="1" x14ac:dyDescent="0.3">
      <c r="A167" s="222"/>
      <c r="B167" s="222"/>
      <c r="C167" s="222"/>
      <c r="D167" s="699" t="s">
        <v>126</v>
      </c>
      <c r="E167" s="699"/>
    </row>
    <row r="168" spans="1:5" ht="13.5" thickBot="1" x14ac:dyDescent="0.25">
      <c r="A168" s="223" t="s">
        <v>125</v>
      </c>
      <c r="B168" s="224">
        <f>+B155</f>
        <v>2018</v>
      </c>
      <c r="C168" s="224">
        <f>+C155</f>
        <v>2019</v>
      </c>
      <c r="D168" s="224">
        <f>+D155</f>
        <v>2020</v>
      </c>
      <c r="E168" s="225" t="s">
        <v>48</v>
      </c>
    </row>
    <row r="169" spans="1:5" x14ac:dyDescent="0.2">
      <c r="A169" s="226" t="s">
        <v>127</v>
      </c>
      <c r="B169" s="90"/>
      <c r="C169" s="90">
        <f>+C186-C171</f>
        <v>-625</v>
      </c>
      <c r="D169" s="90"/>
      <c r="E169" s="227">
        <f t="shared" ref="E169:E175" si="14">SUM(B169:D169)</f>
        <v>-625</v>
      </c>
    </row>
    <row r="170" spans="1:5" x14ac:dyDescent="0.2">
      <c r="A170" s="228" t="s">
        <v>139</v>
      </c>
      <c r="B170" s="91"/>
      <c r="C170" s="91"/>
      <c r="D170" s="91"/>
      <c r="E170" s="229">
        <f t="shared" si="14"/>
        <v>0</v>
      </c>
    </row>
    <row r="171" spans="1:5" x14ac:dyDescent="0.2">
      <c r="A171" s="230" t="s">
        <v>128</v>
      </c>
      <c r="B171" s="92"/>
      <c r="C171" s="92">
        <v>8834</v>
      </c>
      <c r="D171" s="92"/>
      <c r="E171" s="231">
        <f t="shared" si="14"/>
        <v>8834</v>
      </c>
    </row>
    <row r="172" spans="1:5" x14ac:dyDescent="0.2">
      <c r="A172" s="230" t="s">
        <v>140</v>
      </c>
      <c r="B172" s="92"/>
      <c r="C172" s="92"/>
      <c r="D172" s="92"/>
      <c r="E172" s="231">
        <f t="shared" si="14"/>
        <v>0</v>
      </c>
    </row>
    <row r="173" spans="1:5" x14ac:dyDescent="0.2">
      <c r="A173" s="230" t="s">
        <v>129</v>
      </c>
      <c r="B173" s="92"/>
      <c r="C173" s="92"/>
      <c r="D173" s="92"/>
      <c r="E173" s="231">
        <f t="shared" si="14"/>
        <v>0</v>
      </c>
    </row>
    <row r="174" spans="1:5" x14ac:dyDescent="0.2">
      <c r="A174" s="230" t="s">
        <v>130</v>
      </c>
      <c r="B174" s="92"/>
      <c r="C174" s="92"/>
      <c r="D174" s="92"/>
      <c r="E174" s="231">
        <f t="shared" si="14"/>
        <v>0</v>
      </c>
    </row>
    <row r="175" spans="1:5" ht="13.5" thickBot="1" x14ac:dyDescent="0.25">
      <c r="A175" s="93"/>
      <c r="B175" s="94"/>
      <c r="C175" s="94"/>
      <c r="D175" s="94"/>
      <c r="E175" s="231">
        <f t="shared" si="14"/>
        <v>0</v>
      </c>
    </row>
    <row r="176" spans="1:5" ht="13.5" thickBot="1" x14ac:dyDescent="0.25">
      <c r="A176" s="232" t="s">
        <v>132</v>
      </c>
      <c r="B176" s="233">
        <f>B169+SUM(B171:B175)</f>
        <v>0</v>
      </c>
      <c r="C176" s="233">
        <f>C169+SUM(C171:C175)</f>
        <v>8209</v>
      </c>
      <c r="D176" s="233">
        <f>D169+SUM(D171:D175)</f>
        <v>0</v>
      </c>
      <c r="E176" s="234">
        <f>E169+SUM(E171:E175)</f>
        <v>8209</v>
      </c>
    </row>
    <row r="177" spans="1:5" ht="13.5" thickBot="1" x14ac:dyDescent="0.25">
      <c r="A177" s="53"/>
      <c r="B177" s="53"/>
      <c r="C177" s="53"/>
      <c r="D177" s="53"/>
      <c r="E177" s="53"/>
    </row>
    <row r="178" spans="1:5" ht="13.5" thickBot="1" x14ac:dyDescent="0.25">
      <c r="A178" s="223" t="s">
        <v>131</v>
      </c>
      <c r="B178" s="224">
        <f>+B168</f>
        <v>2018</v>
      </c>
      <c r="C178" s="224">
        <f>+C168</f>
        <v>2019</v>
      </c>
      <c r="D178" s="224">
        <f>+D168</f>
        <v>2020</v>
      </c>
      <c r="E178" s="225" t="s">
        <v>48</v>
      </c>
    </row>
    <row r="179" spans="1:5" x14ac:dyDescent="0.2">
      <c r="A179" s="226" t="s">
        <v>135</v>
      </c>
      <c r="B179" s="90"/>
      <c r="C179" s="90"/>
      <c r="D179" s="90"/>
      <c r="E179" s="227">
        <f t="shared" ref="E179:E185" si="15">SUM(B179:D179)</f>
        <v>0</v>
      </c>
    </row>
    <row r="180" spans="1:5" x14ac:dyDescent="0.2">
      <c r="A180" s="235" t="s">
        <v>136</v>
      </c>
      <c r="B180" s="92"/>
      <c r="C180" s="92">
        <v>2056</v>
      </c>
      <c r="D180" s="92"/>
      <c r="E180" s="231">
        <f t="shared" si="15"/>
        <v>2056</v>
      </c>
    </row>
    <row r="181" spans="1:5" x14ac:dyDescent="0.2">
      <c r="A181" s="230" t="s">
        <v>137</v>
      </c>
      <c r="B181" s="92"/>
      <c r="C181" s="92">
        <v>6153</v>
      </c>
      <c r="D181" s="92"/>
      <c r="E181" s="231">
        <f t="shared" si="15"/>
        <v>6153</v>
      </c>
    </row>
    <row r="182" spans="1:5" x14ac:dyDescent="0.2">
      <c r="A182" s="230" t="s">
        <v>138</v>
      </c>
      <c r="B182" s="92"/>
      <c r="C182" s="92"/>
      <c r="D182" s="92"/>
      <c r="E182" s="231">
        <f t="shared" si="15"/>
        <v>0</v>
      </c>
    </row>
    <row r="183" spans="1:5" x14ac:dyDescent="0.2">
      <c r="A183" s="95"/>
      <c r="B183" s="92"/>
      <c r="C183" s="92"/>
      <c r="D183" s="92"/>
      <c r="E183" s="231">
        <f t="shared" si="15"/>
        <v>0</v>
      </c>
    </row>
    <row r="184" spans="1:5" x14ac:dyDescent="0.2">
      <c r="A184" s="95"/>
      <c r="B184" s="92"/>
      <c r="C184" s="92"/>
      <c r="D184" s="92"/>
      <c r="E184" s="231">
        <f t="shared" si="15"/>
        <v>0</v>
      </c>
    </row>
    <row r="185" spans="1:5" ht="13.5" thickBot="1" x14ac:dyDescent="0.25">
      <c r="A185" s="93"/>
      <c r="B185" s="94"/>
      <c r="C185" s="94"/>
      <c r="D185" s="94"/>
      <c r="E185" s="231">
        <f t="shared" si="15"/>
        <v>0</v>
      </c>
    </row>
    <row r="186" spans="1:5" ht="13.5" thickBot="1" x14ac:dyDescent="0.25">
      <c r="A186" s="232" t="s">
        <v>50</v>
      </c>
      <c r="B186" s="233">
        <f>SUM(B179:B185)</f>
        <v>0</v>
      </c>
      <c r="C186" s="233">
        <f>SUM(C179:C185)</f>
        <v>8209</v>
      </c>
      <c r="D186" s="233">
        <f>SUM(D179:D185)</f>
        <v>0</v>
      </c>
      <c r="E186" s="234">
        <f>SUM(E179:E185)</f>
        <v>8209</v>
      </c>
    </row>
  </sheetData>
  <mergeCells count="16">
    <mergeCell ref="B166:E166"/>
    <mergeCell ref="D167:E167"/>
    <mergeCell ref="B4:E4"/>
    <mergeCell ref="D5:E5"/>
    <mergeCell ref="B28:E28"/>
    <mergeCell ref="D29:E29"/>
    <mergeCell ref="B51:E51"/>
    <mergeCell ref="D52:E52"/>
    <mergeCell ref="B74:E74"/>
    <mergeCell ref="B143:E143"/>
    <mergeCell ref="D144:E144"/>
    <mergeCell ref="D75:E75"/>
    <mergeCell ref="B97:E97"/>
    <mergeCell ref="D98:E98"/>
    <mergeCell ref="B120:E120"/>
    <mergeCell ref="D121:E121"/>
  </mergeCells>
  <phoneticPr fontId="30" type="noConversion"/>
  <conditionalFormatting sqref="E7:E14 B14:D14 E17:E25 B24:D25 B49:E50 B72:E73 B95:E96 B118:E119 B141:E142 B164:E165 B26:E27">
    <cfRule type="cellIs" dxfId="8" priority="10" stopIfTrue="1" operator="equal">
      <formula>0</formula>
    </cfRule>
  </conditionalFormatting>
  <conditionalFormatting sqref="E31:E38 B38:D38 E41:E48 B48:D48">
    <cfRule type="cellIs" dxfId="7" priority="8" stopIfTrue="1" operator="equal">
      <formula>0</formula>
    </cfRule>
  </conditionalFormatting>
  <conditionalFormatting sqref="E54:E61 B61:D61 E64:E71 B71:D71">
    <cfRule type="cellIs" dxfId="6" priority="7" stopIfTrue="1" operator="equal">
      <formula>0</formula>
    </cfRule>
  </conditionalFormatting>
  <conditionalFormatting sqref="E77:E84 B84:D84 E87:E94 B94:D94">
    <cfRule type="cellIs" dxfId="5" priority="6" stopIfTrue="1" operator="equal">
      <formula>0</formula>
    </cfRule>
  </conditionalFormatting>
  <conditionalFormatting sqref="E100:E107 B107:D107 E110:E117 B117:D117">
    <cfRule type="cellIs" dxfId="4" priority="5" stopIfTrue="1" operator="equal">
      <formula>0</formula>
    </cfRule>
  </conditionalFormatting>
  <conditionalFormatting sqref="E123:E130 B130:D130 E133:E140 B140:D140">
    <cfRule type="cellIs" dxfId="3" priority="4" stopIfTrue="1" operator="equal">
      <formula>0</formula>
    </cfRule>
  </conditionalFormatting>
  <conditionalFormatting sqref="E146:E153 B153:D153 E156:E163 B163:D163">
    <cfRule type="cellIs" dxfId="2" priority="3" stopIfTrue="1" operator="equal">
      <formula>0</formula>
    </cfRule>
  </conditionalFormatting>
  <conditionalFormatting sqref="E169:E176 B176:D176 E179:E186 B186:D186">
    <cfRule type="cellIs" dxfId="1" priority="1" stopIfTrue="1" operator="equal">
      <formula>0</formula>
    </cfRule>
  </conditionalFormatting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&amp;C&amp;"Times New Roman CE,Félkövér"&amp;12
Európai uniós támogatással megvalósuló projektek 
bevételei, kiadásai, hozzájárulások&amp;R&amp;"Times New Roman CE,Félkövér dőlt"&amp;11 8. melléklet a ..../2019. (....) önkormányzati rendelethez</oddHeader>
  </headerFooter>
  <rowBreaks count="3" manualBreakCount="3">
    <brk id="50" max="16383" man="1"/>
    <brk id="96" max="16383" man="1"/>
    <brk id="14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</sheetPr>
  <dimension ref="A1:K160"/>
  <sheetViews>
    <sheetView zoomScale="130" zoomScaleNormal="130" zoomScaleSheetLayoutView="85" workbookViewId="0">
      <selection activeCell="C8" sqref="C8:C160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4" width="9.33203125" style="3"/>
    <col min="5" max="5" width="13.1640625" style="3" bestFit="1" customWidth="1"/>
    <col min="6" max="16384" width="9.33203125" style="3"/>
  </cols>
  <sheetData>
    <row r="1" spans="1:5" s="2" customFormat="1" ht="16.5" customHeight="1" thickBot="1" x14ac:dyDescent="0.25">
      <c r="A1" s="236"/>
      <c r="B1" s="238"/>
      <c r="C1" s="260" t="str">
        <f>+CONCATENATE("9.1. melléklet a …./",LEFT(ÖSSZEFÜGGÉSEK!A5,4),". (…..) önkormányzati rendelethez")</f>
        <v>9.1. melléklet a …./2019. (…..) önkormányzati rendelethez</v>
      </c>
    </row>
    <row r="2" spans="1:5" s="96" customFormat="1" ht="21" customHeight="1" x14ac:dyDescent="0.2">
      <c r="A2" s="415" t="s">
        <v>59</v>
      </c>
      <c r="B2" s="357" t="s">
        <v>554</v>
      </c>
      <c r="C2" s="359" t="s">
        <v>51</v>
      </c>
    </row>
    <row r="3" spans="1:5" s="96" customFormat="1" ht="16.5" thickBot="1" x14ac:dyDescent="0.25">
      <c r="A3" s="239" t="s">
        <v>192</v>
      </c>
      <c r="B3" s="358" t="s">
        <v>390</v>
      </c>
      <c r="C3" s="496"/>
    </row>
    <row r="4" spans="1:5" s="97" customFormat="1" ht="15.95" customHeight="1" thickBot="1" x14ac:dyDescent="0.3">
      <c r="A4" s="240"/>
      <c r="B4" s="240"/>
      <c r="C4" s="241" t="s">
        <v>562</v>
      </c>
    </row>
    <row r="5" spans="1:5" ht="13.5" thickBot="1" x14ac:dyDescent="0.25">
      <c r="A5" s="416" t="s">
        <v>194</v>
      </c>
      <c r="B5" s="242" t="s">
        <v>551</v>
      </c>
      <c r="C5" s="360" t="s">
        <v>654</v>
      </c>
    </row>
    <row r="6" spans="1:5" s="72" customFormat="1" ht="12.95" customHeight="1" thickBot="1" x14ac:dyDescent="0.25">
      <c r="A6" s="205"/>
      <c r="B6" s="206" t="s">
        <v>484</v>
      </c>
      <c r="C6" s="207" t="s">
        <v>485</v>
      </c>
    </row>
    <row r="7" spans="1:5" s="72" customFormat="1" ht="15.95" customHeight="1" thickBot="1" x14ac:dyDescent="0.25">
      <c r="A7" s="243"/>
      <c r="B7" s="244" t="s">
        <v>53</v>
      </c>
      <c r="C7" s="361"/>
    </row>
    <row r="8" spans="1:5" s="72" customFormat="1" ht="12" customHeight="1" thickBot="1" x14ac:dyDescent="0.25">
      <c r="A8" s="33" t="s">
        <v>15</v>
      </c>
      <c r="B8" s="21" t="s">
        <v>240</v>
      </c>
      <c r="C8" s="296">
        <f>+C9+C10+C11+C12+C13+C14</f>
        <v>494605474</v>
      </c>
    </row>
    <row r="9" spans="1:5" s="98" customFormat="1" ht="12" customHeight="1" x14ac:dyDescent="0.2">
      <c r="A9" s="444" t="s">
        <v>92</v>
      </c>
      <c r="B9" s="425" t="s">
        <v>241</v>
      </c>
      <c r="C9" s="299">
        <f>'9.1.1. sz. mell ÖNK'!C9+'9.1.2. sz. mell ÖNK'!C9+'9.1.3. sz. mell ÖNK'!C9</f>
        <v>205364731</v>
      </c>
    </row>
    <row r="10" spans="1:5" s="99" customFormat="1" ht="12" customHeight="1" x14ac:dyDescent="0.2">
      <c r="A10" s="445" t="s">
        <v>93</v>
      </c>
      <c r="B10" s="426" t="s">
        <v>242</v>
      </c>
      <c r="C10" s="299">
        <f>'9.1.1. sz. mell ÖNK'!C10+'9.1.2. sz. mell ÖNK'!C10+'9.1.3. sz. mell ÖNK'!C10</f>
        <v>67194367</v>
      </c>
      <c r="E10" s="541">
        <f>SUM(C9:C12)</f>
        <v>460013706</v>
      </c>
    </row>
    <row r="11" spans="1:5" s="99" customFormat="1" ht="12" customHeight="1" x14ac:dyDescent="0.2">
      <c r="A11" s="445" t="s">
        <v>94</v>
      </c>
      <c r="B11" s="426" t="s">
        <v>538</v>
      </c>
      <c r="C11" s="299">
        <f>'9.1.1. sz. mell ÖNK'!C11+'9.1.2. sz. mell ÖNK'!C11+'9.1.3. sz. mell ÖNK'!C11</f>
        <v>179020908</v>
      </c>
    </row>
    <row r="12" spans="1:5" s="99" customFormat="1" ht="12" customHeight="1" x14ac:dyDescent="0.2">
      <c r="A12" s="445" t="s">
        <v>95</v>
      </c>
      <c r="B12" s="426" t="s">
        <v>244</v>
      </c>
      <c r="C12" s="299">
        <f>'9.1.1. sz. mell ÖNK'!C12+'9.1.2. sz. mell ÖNK'!C12+'9.1.3. sz. mell ÖNK'!C12</f>
        <v>8433700</v>
      </c>
    </row>
    <row r="13" spans="1:5" s="99" customFormat="1" ht="12" customHeight="1" x14ac:dyDescent="0.2">
      <c r="A13" s="445" t="s">
        <v>141</v>
      </c>
      <c r="B13" s="426" t="s">
        <v>493</v>
      </c>
      <c r="C13" s="299">
        <f>'9.1.1. sz. mell ÖNK'!C13+'9.1.2. sz. mell ÖNK'!C13+'9.1.3. sz. mell ÖNK'!C13</f>
        <v>34591768</v>
      </c>
    </row>
    <row r="14" spans="1:5" s="98" customFormat="1" ht="12" customHeight="1" thickBot="1" x14ac:dyDescent="0.25">
      <c r="A14" s="446" t="s">
        <v>96</v>
      </c>
      <c r="B14" s="427" t="s">
        <v>425</v>
      </c>
      <c r="C14" s="299">
        <f>'9.1.1. sz. mell ÖNK'!C14+'9.1.2. sz. mell ÖNK'!C14+'9.1.3. sz. mell ÖNK'!C14</f>
        <v>0</v>
      </c>
    </row>
    <row r="15" spans="1:5" s="98" customFormat="1" ht="12" customHeight="1" thickBot="1" x14ac:dyDescent="0.25">
      <c r="A15" s="33" t="s">
        <v>16</v>
      </c>
      <c r="B15" s="291" t="s">
        <v>245</v>
      </c>
      <c r="C15" s="296">
        <f>+C16+C17+C18+C19+C20</f>
        <v>143792475</v>
      </c>
    </row>
    <row r="16" spans="1:5" s="98" customFormat="1" ht="12" customHeight="1" x14ac:dyDescent="0.2">
      <c r="A16" s="444" t="s">
        <v>98</v>
      </c>
      <c r="B16" s="425" t="s">
        <v>246</v>
      </c>
      <c r="C16" s="299">
        <f>'9.1.1. sz. mell ÖNK'!C16+'9.1.2. sz. mell ÖNK'!C16+'9.1.3. sz. mell ÖNK'!C16</f>
        <v>0</v>
      </c>
    </row>
    <row r="17" spans="1:3" s="98" customFormat="1" ht="12" customHeight="1" x14ac:dyDescent="0.2">
      <c r="A17" s="445" t="s">
        <v>99</v>
      </c>
      <c r="B17" s="426" t="s">
        <v>247</v>
      </c>
      <c r="C17" s="299">
        <f>'9.1.1. sz. mell ÖNK'!C17+'9.1.2. sz. mell ÖNK'!C17+'9.1.3. sz. mell ÖNK'!C17</f>
        <v>0</v>
      </c>
    </row>
    <row r="18" spans="1:3" s="98" customFormat="1" ht="12" customHeight="1" x14ac:dyDescent="0.2">
      <c r="A18" s="445" t="s">
        <v>100</v>
      </c>
      <c r="B18" s="426" t="s">
        <v>414</v>
      </c>
      <c r="C18" s="299">
        <f>'9.1.1. sz. mell ÖNK'!C18+'9.1.2. sz. mell ÖNK'!C18+'9.1.3. sz. mell ÖNK'!C18</f>
        <v>0</v>
      </c>
    </row>
    <row r="19" spans="1:3" s="98" customFormat="1" ht="12" customHeight="1" x14ac:dyDescent="0.2">
      <c r="A19" s="445" t="s">
        <v>101</v>
      </c>
      <c r="B19" s="426" t="s">
        <v>415</v>
      </c>
      <c r="C19" s="299">
        <f>'9.1.1. sz. mell ÖNK'!C19+'9.1.2. sz. mell ÖNK'!C19+'9.1.3. sz. mell ÖNK'!C19</f>
        <v>0</v>
      </c>
    </row>
    <row r="20" spans="1:3" s="98" customFormat="1" ht="12" customHeight="1" x14ac:dyDescent="0.2">
      <c r="A20" s="445" t="s">
        <v>102</v>
      </c>
      <c r="B20" s="426" t="s">
        <v>248</v>
      </c>
      <c r="C20" s="299">
        <f>'9.1.1. sz. mell ÖNK'!C20+'9.1.2. sz. mell ÖNK'!C20+'9.1.3. sz. mell ÖNK'!C20</f>
        <v>143792475</v>
      </c>
    </row>
    <row r="21" spans="1:3" s="99" customFormat="1" ht="12" customHeight="1" thickBot="1" x14ac:dyDescent="0.25">
      <c r="A21" s="446" t="s">
        <v>111</v>
      </c>
      <c r="B21" s="427" t="s">
        <v>249</v>
      </c>
      <c r="C21" s="299">
        <f>'9.1.1. sz. mell ÖNK'!C21+'9.1.2. sz. mell ÖNK'!C21+'9.1.3. sz. mell ÖNK'!C21</f>
        <v>0</v>
      </c>
    </row>
    <row r="22" spans="1:3" s="99" customFormat="1" ht="12" customHeight="1" thickBot="1" x14ac:dyDescent="0.25">
      <c r="A22" s="33" t="s">
        <v>17</v>
      </c>
      <c r="B22" s="21" t="s">
        <v>250</v>
      </c>
      <c r="C22" s="296">
        <f>+C23+C24+C25+C26+C27</f>
        <v>17511265</v>
      </c>
    </row>
    <row r="23" spans="1:3" s="99" customFormat="1" ht="12" customHeight="1" x14ac:dyDescent="0.2">
      <c r="A23" s="444" t="s">
        <v>81</v>
      </c>
      <c r="B23" s="425" t="s">
        <v>251</v>
      </c>
      <c r="C23" s="299">
        <f>'9.1.1. sz. mell ÖNK'!C23+'9.1.2. sz. mell ÖNK'!C23+'9.1.3. sz. mell ÖNK'!C23</f>
        <v>0</v>
      </c>
    </row>
    <row r="24" spans="1:3" s="98" customFormat="1" ht="12" customHeight="1" x14ac:dyDescent="0.2">
      <c r="A24" s="445" t="s">
        <v>82</v>
      </c>
      <c r="B24" s="426" t="s">
        <v>252</v>
      </c>
      <c r="C24" s="299">
        <f>'9.1.1. sz. mell ÖNK'!C24+'9.1.2. sz. mell ÖNK'!C24+'9.1.3. sz. mell ÖNK'!C24</f>
        <v>0</v>
      </c>
    </row>
    <row r="25" spans="1:3" s="99" customFormat="1" ht="12" customHeight="1" x14ac:dyDescent="0.2">
      <c r="A25" s="445" t="s">
        <v>83</v>
      </c>
      <c r="B25" s="426" t="s">
        <v>416</v>
      </c>
      <c r="C25" s="299">
        <f>'9.1.1. sz. mell ÖNK'!C25+'9.1.2. sz. mell ÖNK'!C25+'9.1.3. sz. mell ÖNK'!C25</f>
        <v>0</v>
      </c>
    </row>
    <row r="26" spans="1:3" s="99" customFormat="1" ht="12" customHeight="1" x14ac:dyDescent="0.2">
      <c r="A26" s="445" t="s">
        <v>84</v>
      </c>
      <c r="B26" s="426" t="s">
        <v>417</v>
      </c>
      <c r="C26" s="299">
        <f>'9.1.1. sz. mell ÖNK'!C26+'9.1.2. sz. mell ÖNK'!C26+'9.1.3. sz. mell ÖNK'!C26</f>
        <v>0</v>
      </c>
    </row>
    <row r="27" spans="1:3" s="99" customFormat="1" ht="12" customHeight="1" x14ac:dyDescent="0.2">
      <c r="A27" s="445" t="s">
        <v>160</v>
      </c>
      <c r="B27" s="426" t="s">
        <v>253</v>
      </c>
      <c r="C27" s="299">
        <f>'9.1.1. sz. mell ÖNK'!C27+'9.1.2. sz. mell ÖNK'!C27+'9.1.3. sz. mell ÖNK'!C27</f>
        <v>17511265</v>
      </c>
    </row>
    <row r="28" spans="1:3" s="99" customFormat="1" ht="12" customHeight="1" thickBot="1" x14ac:dyDescent="0.25">
      <c r="A28" s="446" t="s">
        <v>161</v>
      </c>
      <c r="B28" s="427" t="s">
        <v>254</v>
      </c>
      <c r="C28" s="299">
        <f>'9.1.1. sz. mell ÖNK'!C28+'9.1.2. sz. mell ÖNK'!C28+'9.1.3. sz. mell ÖNK'!C28</f>
        <v>0</v>
      </c>
    </row>
    <row r="29" spans="1:3" s="99" customFormat="1" ht="12" customHeight="1" thickBot="1" x14ac:dyDescent="0.25">
      <c r="A29" s="33" t="s">
        <v>162</v>
      </c>
      <c r="B29" s="21" t="s">
        <v>548</v>
      </c>
      <c r="C29" s="302">
        <f>+C30+C35+C36+C37+C33+C34+C31+C32</f>
        <v>123525000</v>
      </c>
    </row>
    <row r="30" spans="1:3" s="99" customFormat="1" ht="12" customHeight="1" x14ac:dyDescent="0.2">
      <c r="A30" s="444" t="s">
        <v>256</v>
      </c>
      <c r="B30" s="425" t="s">
        <v>543</v>
      </c>
      <c r="C30" s="420">
        <f>'9.1.1. sz. mell ÖNK'!C30+'9.1.2. sz. mell ÖNK'!C30+'9.1.3. sz. mell ÖNK'!C30</f>
        <v>0</v>
      </c>
    </row>
    <row r="31" spans="1:3" s="99" customFormat="1" ht="12" customHeight="1" x14ac:dyDescent="0.2">
      <c r="A31" s="445" t="s">
        <v>257</v>
      </c>
      <c r="B31" s="426" t="s">
        <v>544</v>
      </c>
      <c r="C31" s="420">
        <f>'9.1.1. sz. mell ÖNK'!C31+'9.1.2. sz. mell ÖNK'!C31+'9.1.3. sz. mell ÖNK'!C31</f>
        <v>15000</v>
      </c>
    </row>
    <row r="32" spans="1:3" s="99" customFormat="1" ht="12" customHeight="1" x14ac:dyDescent="0.2">
      <c r="A32" s="445" t="s">
        <v>258</v>
      </c>
      <c r="B32" s="426" t="s">
        <v>628</v>
      </c>
      <c r="C32" s="420">
        <f>'9.1.1. sz. mell ÖNK'!C32+'9.1.2. sz. mell ÖNK'!C31+'9.1.3. sz. mell ÖNK'!C31</f>
        <v>17100000</v>
      </c>
    </row>
    <row r="33" spans="1:3" s="99" customFormat="1" ht="12" customHeight="1" x14ac:dyDescent="0.2">
      <c r="A33" s="445" t="s">
        <v>259</v>
      </c>
      <c r="B33" s="426" t="s">
        <v>545</v>
      </c>
      <c r="C33" s="420">
        <f>'9.1.1. sz. mell ÖNK'!C33+'9.1.2. sz. mell ÖNK'!C33+'9.1.3. sz. mell ÖNK'!C33</f>
        <v>90000000</v>
      </c>
    </row>
    <row r="34" spans="1:3" s="99" customFormat="1" ht="12" customHeight="1" x14ac:dyDescent="0.2">
      <c r="A34" s="445" t="s">
        <v>540</v>
      </c>
      <c r="B34" s="426" t="s">
        <v>546</v>
      </c>
      <c r="C34" s="420">
        <f>'9.1.1. sz. mell ÖNK'!C34+'9.1.2. sz. mell ÖNK'!C34+'9.1.3. sz. mell ÖNK'!C34</f>
        <v>10000</v>
      </c>
    </row>
    <row r="35" spans="1:3" s="99" customFormat="1" ht="12" customHeight="1" x14ac:dyDescent="0.2">
      <c r="A35" s="445" t="s">
        <v>541</v>
      </c>
      <c r="B35" s="426" t="s">
        <v>260</v>
      </c>
      <c r="C35" s="420">
        <f>'9.1.1. sz. mell ÖNK'!C35+'9.1.2. sz. mell ÖNK'!C35+'9.1.3. sz. mell ÖNK'!C35</f>
        <v>15000000</v>
      </c>
    </row>
    <row r="36" spans="1:3" s="99" customFormat="1" ht="12" customHeight="1" x14ac:dyDescent="0.2">
      <c r="A36" s="446" t="s">
        <v>542</v>
      </c>
      <c r="B36" s="426" t="s">
        <v>261</v>
      </c>
      <c r="C36" s="420">
        <f>'9.1.1. sz. mell ÖNK'!C36+'9.1.2. sz. mell ÖNK'!C36+'9.1.3. sz. mell ÖNK'!C36</f>
        <v>0</v>
      </c>
    </row>
    <row r="37" spans="1:3" s="99" customFormat="1" ht="12" customHeight="1" thickBot="1" x14ac:dyDescent="0.25">
      <c r="A37" s="446" t="s">
        <v>629</v>
      </c>
      <c r="B37" s="522" t="s">
        <v>262</v>
      </c>
      <c r="C37" s="420">
        <f>'9.1.1. sz. mell ÖNK'!C37+'9.1.2. sz. mell ÖNK'!C37+'9.1.3. sz. mell ÖNK'!C37</f>
        <v>1400000</v>
      </c>
    </row>
    <row r="38" spans="1:3" s="99" customFormat="1" ht="12" customHeight="1" thickBot="1" x14ac:dyDescent="0.25">
      <c r="A38" s="33" t="s">
        <v>19</v>
      </c>
      <c r="B38" s="21" t="s">
        <v>426</v>
      </c>
      <c r="C38" s="296">
        <f>SUM(C39:C49)</f>
        <v>13959953</v>
      </c>
    </row>
    <row r="39" spans="1:3" s="99" customFormat="1" ht="12" customHeight="1" x14ac:dyDescent="0.2">
      <c r="A39" s="444" t="s">
        <v>85</v>
      </c>
      <c r="B39" s="425" t="s">
        <v>265</v>
      </c>
      <c r="C39" s="299">
        <f>'9.1.1. sz. mell ÖNK'!C39+'9.1.2. sz. mell ÖNK'!C39+'9.1.3. sz. mell ÖNK'!C39</f>
        <v>1332941</v>
      </c>
    </row>
    <row r="40" spans="1:3" s="99" customFormat="1" ht="12" customHeight="1" x14ac:dyDescent="0.2">
      <c r="A40" s="445" t="s">
        <v>86</v>
      </c>
      <c r="B40" s="426" t="s">
        <v>266</v>
      </c>
      <c r="C40" s="299">
        <f>'9.1.1. sz. mell ÖNK'!C40+'9.1.2. sz. mell ÖNK'!C40+'9.1.3. sz. mell ÖNK'!C40</f>
        <v>8300000</v>
      </c>
    </row>
    <row r="41" spans="1:3" s="99" customFormat="1" ht="12" customHeight="1" x14ac:dyDescent="0.2">
      <c r="A41" s="445" t="s">
        <v>87</v>
      </c>
      <c r="B41" s="426" t="s">
        <v>267</v>
      </c>
      <c r="C41" s="299">
        <f>'9.1.1. sz. mell ÖNK'!C41+'9.1.2. sz. mell ÖNK'!C41+'9.1.3. sz. mell ÖNK'!C41</f>
        <v>2800000</v>
      </c>
    </row>
    <row r="42" spans="1:3" s="99" customFormat="1" ht="12" customHeight="1" x14ac:dyDescent="0.2">
      <c r="A42" s="445" t="s">
        <v>164</v>
      </c>
      <c r="B42" s="426" t="s">
        <v>268</v>
      </c>
      <c r="C42" s="299">
        <f>'9.1.1. sz. mell ÖNK'!C42+'9.1.2. sz. mell ÖNK'!C42+'9.1.3. sz. mell ÖNK'!C42</f>
        <v>0</v>
      </c>
    </row>
    <row r="43" spans="1:3" s="99" customFormat="1" ht="12" customHeight="1" x14ac:dyDescent="0.2">
      <c r="A43" s="445" t="s">
        <v>165</v>
      </c>
      <c r="B43" s="426" t="s">
        <v>269</v>
      </c>
      <c r="C43" s="299">
        <f>'9.1.1. sz. mell ÖNK'!C43+'9.1.2. sz. mell ÖNK'!C43+'9.1.3. sz. mell ÖNK'!C43</f>
        <v>0</v>
      </c>
    </row>
    <row r="44" spans="1:3" s="99" customFormat="1" ht="12" customHeight="1" x14ac:dyDescent="0.2">
      <c r="A44" s="445" t="s">
        <v>166</v>
      </c>
      <c r="B44" s="426" t="s">
        <v>270</v>
      </c>
      <c r="C44" s="299">
        <f>'9.1.1. sz. mell ÖNK'!C44+'9.1.2. sz. mell ÖNK'!C44+'9.1.3. sz. mell ÖNK'!C44</f>
        <v>1527012</v>
      </c>
    </row>
    <row r="45" spans="1:3" s="99" customFormat="1" ht="12" customHeight="1" x14ac:dyDescent="0.2">
      <c r="A45" s="445" t="s">
        <v>167</v>
      </c>
      <c r="B45" s="426" t="s">
        <v>271</v>
      </c>
      <c r="C45" s="299">
        <f>'9.1.1. sz. mell ÖNK'!C45+'9.1.2. sz. mell ÖNK'!C45+'9.1.3. sz. mell ÖNK'!C45</f>
        <v>0</v>
      </c>
    </row>
    <row r="46" spans="1:3" s="99" customFormat="1" ht="12" customHeight="1" x14ac:dyDescent="0.2">
      <c r="A46" s="445" t="s">
        <v>168</v>
      </c>
      <c r="B46" s="426" t="s">
        <v>547</v>
      </c>
      <c r="C46" s="299">
        <f>'9.1.1. sz. mell ÖNK'!C46+'9.1.2. sz. mell ÖNK'!C46+'9.1.3. sz. mell ÖNK'!C46</f>
        <v>0</v>
      </c>
    </row>
    <row r="47" spans="1:3" s="99" customFormat="1" ht="12" customHeight="1" x14ac:dyDescent="0.2">
      <c r="A47" s="445" t="s">
        <v>263</v>
      </c>
      <c r="B47" s="426" t="s">
        <v>273</v>
      </c>
      <c r="C47" s="299">
        <f>'9.1.1. sz. mell ÖNK'!C47+'9.1.2. sz. mell ÖNK'!C47+'9.1.3. sz. mell ÖNK'!C47</f>
        <v>0</v>
      </c>
    </row>
    <row r="48" spans="1:3" s="99" customFormat="1" ht="12" customHeight="1" x14ac:dyDescent="0.2">
      <c r="A48" s="446" t="s">
        <v>264</v>
      </c>
      <c r="B48" s="427" t="s">
        <v>428</v>
      </c>
      <c r="C48" s="299">
        <f>'9.1.1. sz. mell ÖNK'!C48+'9.1.2. sz. mell ÖNK'!C48+'9.1.3. sz. mell ÖNK'!C48</f>
        <v>0</v>
      </c>
    </row>
    <row r="49" spans="1:3" s="99" customFormat="1" ht="12" customHeight="1" thickBot="1" x14ac:dyDescent="0.25">
      <c r="A49" s="446" t="s">
        <v>427</v>
      </c>
      <c r="B49" s="427" t="s">
        <v>274</v>
      </c>
      <c r="C49" s="299">
        <f>'9.1.1. sz. mell ÖNK'!C49+'9.1.2. sz. mell ÖNK'!C49+'9.1.3. sz. mell ÖNK'!C49</f>
        <v>0</v>
      </c>
    </row>
    <row r="50" spans="1:3" s="99" customFormat="1" ht="12" customHeight="1" thickBot="1" x14ac:dyDescent="0.25">
      <c r="A50" s="33" t="s">
        <v>20</v>
      </c>
      <c r="B50" s="21" t="s">
        <v>275</v>
      </c>
      <c r="C50" s="296">
        <f>SUM(C51:C55)</f>
        <v>57540240</v>
      </c>
    </row>
    <row r="51" spans="1:3" s="99" customFormat="1" ht="12" customHeight="1" x14ac:dyDescent="0.2">
      <c r="A51" s="444" t="s">
        <v>88</v>
      </c>
      <c r="B51" s="425" t="s">
        <v>279</v>
      </c>
      <c r="C51" s="470">
        <f>'9.1.1. sz. mell ÖNK'!C51+'9.1.2. sz. mell ÖNK'!C51+'9.1.3. sz. mell ÖNK'!C51</f>
        <v>0</v>
      </c>
    </row>
    <row r="52" spans="1:3" s="99" customFormat="1" ht="12" customHeight="1" x14ac:dyDescent="0.2">
      <c r="A52" s="445" t="s">
        <v>89</v>
      </c>
      <c r="B52" s="426" t="s">
        <v>280</v>
      </c>
      <c r="C52" s="470">
        <f>'9.1.1. sz. mell ÖNK'!C52+'9.1.2. sz. mell ÖNK'!C52+'9.1.3. sz. mell ÖNK'!C52</f>
        <v>55760240</v>
      </c>
    </row>
    <row r="53" spans="1:3" s="99" customFormat="1" ht="12" customHeight="1" x14ac:dyDescent="0.2">
      <c r="A53" s="445" t="s">
        <v>276</v>
      </c>
      <c r="B53" s="426" t="s">
        <v>281</v>
      </c>
      <c r="C53" s="470">
        <f>'9.1.1. sz. mell ÖNK'!C53+'9.1.2. sz. mell ÖNK'!C53+'9.1.3. sz. mell ÖNK'!C53</f>
        <v>1780000</v>
      </c>
    </row>
    <row r="54" spans="1:3" s="99" customFormat="1" ht="12" customHeight="1" x14ac:dyDescent="0.2">
      <c r="A54" s="445" t="s">
        <v>277</v>
      </c>
      <c r="B54" s="426" t="s">
        <v>282</v>
      </c>
      <c r="C54" s="470">
        <f>'9.1.1. sz. mell ÖNK'!C54+'9.1.2. sz. mell ÖNK'!C54+'9.1.3. sz. mell ÖNK'!C54</f>
        <v>0</v>
      </c>
    </row>
    <row r="55" spans="1:3" s="99" customFormat="1" ht="12" customHeight="1" thickBot="1" x14ac:dyDescent="0.25">
      <c r="A55" s="446" t="s">
        <v>278</v>
      </c>
      <c r="B55" s="427" t="s">
        <v>283</v>
      </c>
      <c r="C55" s="470">
        <f>'9.1.1. sz. mell ÖNK'!C55+'9.1.2. sz. mell ÖNK'!C55+'9.1.3. sz. mell ÖNK'!C55</f>
        <v>0</v>
      </c>
    </row>
    <row r="56" spans="1:3" s="99" customFormat="1" ht="12" customHeight="1" thickBot="1" x14ac:dyDescent="0.25">
      <c r="A56" s="33" t="s">
        <v>169</v>
      </c>
      <c r="B56" s="21" t="s">
        <v>284</v>
      </c>
      <c r="C56" s="296">
        <f>SUM(C57:C59)</f>
        <v>0</v>
      </c>
    </row>
    <row r="57" spans="1:3" s="99" customFormat="1" ht="12" customHeight="1" x14ac:dyDescent="0.2">
      <c r="A57" s="444" t="s">
        <v>90</v>
      </c>
      <c r="B57" s="425" t="s">
        <v>285</v>
      </c>
      <c r="C57" s="299">
        <f>'9.1.1. sz. mell ÖNK'!C57+'9.1.2. sz. mell ÖNK'!C57+'9.1.3. sz. mell ÖNK'!C57</f>
        <v>0</v>
      </c>
    </row>
    <row r="58" spans="1:3" s="99" customFormat="1" ht="12" customHeight="1" x14ac:dyDescent="0.2">
      <c r="A58" s="445" t="s">
        <v>91</v>
      </c>
      <c r="B58" s="426" t="s">
        <v>418</v>
      </c>
      <c r="C58" s="299">
        <f>'9.1.1. sz. mell ÖNK'!C58+'9.1.2. sz. mell ÖNK'!C58+'9.1.3. sz. mell ÖNK'!C58</f>
        <v>0</v>
      </c>
    </row>
    <row r="59" spans="1:3" s="99" customFormat="1" ht="12" customHeight="1" x14ac:dyDescent="0.2">
      <c r="A59" s="445" t="s">
        <v>288</v>
      </c>
      <c r="B59" s="426" t="s">
        <v>286</v>
      </c>
      <c r="C59" s="299">
        <f>'9.1.1. sz. mell ÖNK'!C59+'9.1.2. sz. mell ÖNK'!C59+'9.1.3. sz. mell ÖNK'!C59</f>
        <v>0</v>
      </c>
    </row>
    <row r="60" spans="1:3" s="99" customFormat="1" ht="12" customHeight="1" thickBot="1" x14ac:dyDescent="0.25">
      <c r="A60" s="446" t="s">
        <v>289</v>
      </c>
      <c r="B60" s="427" t="s">
        <v>287</v>
      </c>
      <c r="C60" s="299">
        <f>'9.1.1. sz. mell ÖNK'!C60+'9.1.2. sz. mell ÖNK'!C60+'9.1.3. sz. mell ÖNK'!C60</f>
        <v>0</v>
      </c>
    </row>
    <row r="61" spans="1:3" s="99" customFormat="1" ht="12" customHeight="1" thickBot="1" x14ac:dyDescent="0.25">
      <c r="A61" s="33" t="s">
        <v>22</v>
      </c>
      <c r="B61" s="291" t="s">
        <v>290</v>
      </c>
      <c r="C61" s="296">
        <f>SUM(C62:C64)</f>
        <v>410000</v>
      </c>
    </row>
    <row r="62" spans="1:3" s="99" customFormat="1" ht="12" customHeight="1" x14ac:dyDescent="0.2">
      <c r="A62" s="444" t="s">
        <v>170</v>
      </c>
      <c r="B62" s="425" t="s">
        <v>292</v>
      </c>
      <c r="C62" s="301">
        <f>'9.1.1. sz. mell ÖNK'!C62+'9.1.2. sz. mell ÖNK'!C62+'9.1.3. sz. mell ÖNK'!C62</f>
        <v>0</v>
      </c>
    </row>
    <row r="63" spans="1:3" s="99" customFormat="1" ht="12" customHeight="1" x14ac:dyDescent="0.2">
      <c r="A63" s="445" t="s">
        <v>171</v>
      </c>
      <c r="B63" s="426" t="s">
        <v>419</v>
      </c>
      <c r="C63" s="301">
        <f>'9.1.1. sz. mell ÖNK'!C63+'9.1.2. sz. mell ÖNK'!C63+'9.1.3. sz. mell ÖNK'!C63</f>
        <v>410000</v>
      </c>
    </row>
    <row r="64" spans="1:3" s="99" customFormat="1" ht="12" customHeight="1" x14ac:dyDescent="0.2">
      <c r="A64" s="445" t="s">
        <v>216</v>
      </c>
      <c r="B64" s="426" t="s">
        <v>293</v>
      </c>
      <c r="C64" s="301">
        <f>'9.1.1. sz. mell ÖNK'!C64+'9.1.2. sz. mell ÖNK'!C64+'9.1.3. sz. mell ÖNK'!C64</f>
        <v>0</v>
      </c>
    </row>
    <row r="65" spans="1:3" s="99" customFormat="1" ht="12" customHeight="1" thickBot="1" x14ac:dyDescent="0.25">
      <c r="A65" s="446" t="s">
        <v>291</v>
      </c>
      <c r="B65" s="427" t="s">
        <v>294</v>
      </c>
      <c r="C65" s="301">
        <f>'9.1.1. sz. mell ÖNK'!C65+'9.1.2. sz. mell ÖNK'!C65+'9.1.3. sz. mell ÖNK'!C65</f>
        <v>0</v>
      </c>
    </row>
    <row r="66" spans="1:3" s="99" customFormat="1" ht="12" customHeight="1" thickBot="1" x14ac:dyDescent="0.25">
      <c r="A66" s="33" t="s">
        <v>23</v>
      </c>
      <c r="B66" s="21" t="s">
        <v>295</v>
      </c>
      <c r="C66" s="302">
        <f>+C8+C15+C22+C29+C38+C50+C56+C61</f>
        <v>851344407</v>
      </c>
    </row>
    <row r="67" spans="1:3" s="99" customFormat="1" ht="12" customHeight="1" thickBot="1" x14ac:dyDescent="0.2">
      <c r="A67" s="447" t="s">
        <v>386</v>
      </c>
      <c r="B67" s="291" t="s">
        <v>297</v>
      </c>
      <c r="C67" s="296">
        <f>SUM(C68:C70)</f>
        <v>0</v>
      </c>
    </row>
    <row r="68" spans="1:3" s="99" customFormat="1" ht="12" customHeight="1" x14ac:dyDescent="0.2">
      <c r="A68" s="444" t="s">
        <v>328</v>
      </c>
      <c r="B68" s="425" t="s">
        <v>298</v>
      </c>
      <c r="C68" s="301">
        <f>'9.1.1. sz. mell ÖNK'!C68+'9.1.2. sz. mell ÖNK'!C68+'9.1.3. sz. mell ÖNK'!C68</f>
        <v>0</v>
      </c>
    </row>
    <row r="69" spans="1:3" s="99" customFormat="1" ht="12" customHeight="1" x14ac:dyDescent="0.2">
      <c r="A69" s="445" t="s">
        <v>337</v>
      </c>
      <c r="B69" s="426" t="s">
        <v>299</v>
      </c>
      <c r="C69" s="301">
        <f>'9.1.1. sz. mell ÖNK'!C69+'9.1.2. sz. mell ÖNK'!C69+'9.1.3. sz. mell ÖNK'!C69</f>
        <v>0</v>
      </c>
    </row>
    <row r="70" spans="1:3" s="99" customFormat="1" ht="12" customHeight="1" thickBot="1" x14ac:dyDescent="0.25">
      <c r="A70" s="446" t="s">
        <v>338</v>
      </c>
      <c r="B70" s="428" t="s">
        <v>300</v>
      </c>
      <c r="C70" s="301">
        <f>'9.1.1. sz. mell ÖNK'!C70+'9.1.2. sz. mell ÖNK'!C70+'9.1.3. sz. mell ÖNK'!C70</f>
        <v>0</v>
      </c>
    </row>
    <row r="71" spans="1:3" s="99" customFormat="1" ht="12" customHeight="1" thickBot="1" x14ac:dyDescent="0.2">
      <c r="A71" s="447" t="s">
        <v>301</v>
      </c>
      <c r="B71" s="291" t="s">
        <v>302</v>
      </c>
      <c r="C71" s="296">
        <f>SUM(C72:C75)</f>
        <v>0</v>
      </c>
    </row>
    <row r="72" spans="1:3" s="99" customFormat="1" ht="12" customHeight="1" x14ac:dyDescent="0.2">
      <c r="A72" s="444" t="s">
        <v>142</v>
      </c>
      <c r="B72" s="425" t="s">
        <v>303</v>
      </c>
      <c r="C72" s="301">
        <f>'9.1.1. sz. mell ÖNK'!C72+'9.1.2. sz. mell ÖNK'!C72+'9.1.3. sz. mell ÖNK'!C72</f>
        <v>0</v>
      </c>
    </row>
    <row r="73" spans="1:3" s="99" customFormat="1" ht="12" customHeight="1" x14ac:dyDescent="0.2">
      <c r="A73" s="445" t="s">
        <v>143</v>
      </c>
      <c r="B73" s="426" t="s">
        <v>304</v>
      </c>
      <c r="C73" s="301">
        <f>'9.1.1. sz. mell ÖNK'!C73+'9.1.2. sz. mell ÖNK'!C73+'9.1.3. sz. mell ÖNK'!C73</f>
        <v>0</v>
      </c>
    </row>
    <row r="74" spans="1:3" s="99" customFormat="1" ht="12" customHeight="1" x14ac:dyDescent="0.2">
      <c r="A74" s="445" t="s">
        <v>329</v>
      </c>
      <c r="B74" s="426" t="s">
        <v>305</v>
      </c>
      <c r="C74" s="301">
        <f>'9.1.1. sz. mell ÖNK'!C74+'9.1.2. sz. mell ÖNK'!C74+'9.1.3. sz. mell ÖNK'!C74</f>
        <v>0</v>
      </c>
    </row>
    <row r="75" spans="1:3" s="99" customFormat="1" ht="12" customHeight="1" thickBot="1" x14ac:dyDescent="0.25">
      <c r="A75" s="446" t="s">
        <v>330</v>
      </c>
      <c r="B75" s="427" t="s">
        <v>306</v>
      </c>
      <c r="C75" s="301">
        <f>'9.1.1. sz. mell ÖNK'!C75+'9.1.2. sz. mell ÖNK'!C75+'9.1.3. sz. mell ÖNK'!C75</f>
        <v>0</v>
      </c>
    </row>
    <row r="76" spans="1:3" s="99" customFormat="1" ht="12" customHeight="1" thickBot="1" x14ac:dyDescent="0.2">
      <c r="A76" s="447" t="s">
        <v>307</v>
      </c>
      <c r="B76" s="291" t="s">
        <v>308</v>
      </c>
      <c r="C76" s="296">
        <f>SUM(C77:C78)</f>
        <v>950101937</v>
      </c>
    </row>
    <row r="77" spans="1:3" s="99" customFormat="1" ht="12" customHeight="1" x14ac:dyDescent="0.2">
      <c r="A77" s="444" t="s">
        <v>331</v>
      </c>
      <c r="B77" s="425" t="s">
        <v>309</v>
      </c>
      <c r="C77" s="301">
        <f>'9.1.1. sz. mell ÖNK'!C77+'9.1.2. sz. mell ÖNK'!C77+'9.1.3. sz. mell ÖNK'!C77</f>
        <v>950101937</v>
      </c>
    </row>
    <row r="78" spans="1:3" s="99" customFormat="1" ht="12" customHeight="1" thickBot="1" x14ac:dyDescent="0.25">
      <c r="A78" s="446" t="s">
        <v>332</v>
      </c>
      <c r="B78" s="427" t="s">
        <v>310</v>
      </c>
      <c r="C78" s="301">
        <f>'9.1.1. sz. mell ÖNK'!C78+'9.1.2. sz. mell ÖNK'!C78+'9.1.3. sz. mell ÖNK'!C78</f>
        <v>0</v>
      </c>
    </row>
    <row r="79" spans="1:3" s="98" customFormat="1" ht="12" customHeight="1" thickBot="1" x14ac:dyDescent="0.2">
      <c r="A79" s="447" t="s">
        <v>311</v>
      </c>
      <c r="B79" s="291" t="s">
        <v>312</v>
      </c>
      <c r="C79" s="296">
        <f>SUM(C80:C82)</f>
        <v>0</v>
      </c>
    </row>
    <row r="80" spans="1:3" s="99" customFormat="1" ht="12" customHeight="1" x14ac:dyDescent="0.2">
      <c r="A80" s="444" t="s">
        <v>333</v>
      </c>
      <c r="B80" s="425" t="s">
        <v>313</v>
      </c>
      <c r="C80" s="301">
        <f>'9.1.1. sz. mell ÖNK'!C80+'9.1.2. sz. mell ÖNK'!C80+'9.1.3. sz. mell ÖNK'!C80</f>
        <v>0</v>
      </c>
    </row>
    <row r="81" spans="1:3" s="99" customFormat="1" ht="12" customHeight="1" x14ac:dyDescent="0.2">
      <c r="A81" s="445" t="s">
        <v>334</v>
      </c>
      <c r="B81" s="426" t="s">
        <v>314</v>
      </c>
      <c r="C81" s="301">
        <f>'9.1.1. sz. mell ÖNK'!C81+'9.1.2. sz. mell ÖNK'!C81+'9.1.3. sz. mell ÖNK'!C81</f>
        <v>0</v>
      </c>
    </row>
    <row r="82" spans="1:3" s="99" customFormat="1" ht="12" customHeight="1" thickBot="1" x14ac:dyDescent="0.25">
      <c r="A82" s="446" t="s">
        <v>335</v>
      </c>
      <c r="B82" s="427" t="s">
        <v>315</v>
      </c>
      <c r="C82" s="301">
        <f>'9.1.1. sz. mell ÖNK'!C82+'9.1.2. sz. mell ÖNK'!C82+'9.1.3. sz. mell ÖNK'!C82</f>
        <v>0</v>
      </c>
    </row>
    <row r="83" spans="1:3" s="99" customFormat="1" ht="12" customHeight="1" thickBot="1" x14ac:dyDescent="0.2">
      <c r="A83" s="447" t="s">
        <v>316</v>
      </c>
      <c r="B83" s="291" t="s">
        <v>336</v>
      </c>
      <c r="C83" s="296">
        <f>SUM(C84:C87)</f>
        <v>0</v>
      </c>
    </row>
    <row r="84" spans="1:3" s="99" customFormat="1" ht="12" customHeight="1" x14ac:dyDescent="0.2">
      <c r="A84" s="448" t="s">
        <v>317</v>
      </c>
      <c r="B84" s="425" t="s">
        <v>318</v>
      </c>
      <c r="C84" s="301">
        <f>'9.1.1. sz. mell ÖNK'!C84+'9.1.2. sz. mell ÖNK'!C84+'9.1.3. sz. mell ÖNK'!C84</f>
        <v>0</v>
      </c>
    </row>
    <row r="85" spans="1:3" s="99" customFormat="1" ht="12" customHeight="1" x14ac:dyDescent="0.2">
      <c r="A85" s="449" t="s">
        <v>319</v>
      </c>
      <c r="B85" s="426" t="s">
        <v>320</v>
      </c>
      <c r="C85" s="301">
        <f>'9.1.1. sz. mell ÖNK'!C85+'9.1.2. sz. mell ÖNK'!C85+'9.1.3. sz. mell ÖNK'!C85</f>
        <v>0</v>
      </c>
    </row>
    <row r="86" spans="1:3" s="99" customFormat="1" ht="12" customHeight="1" x14ac:dyDescent="0.2">
      <c r="A86" s="449" t="s">
        <v>321</v>
      </c>
      <c r="B86" s="426" t="s">
        <v>322</v>
      </c>
      <c r="C86" s="301">
        <f>'9.1.1. sz. mell ÖNK'!C86+'9.1.2. sz. mell ÖNK'!C86+'9.1.3. sz. mell ÖNK'!C86</f>
        <v>0</v>
      </c>
    </row>
    <row r="87" spans="1:3" s="98" customFormat="1" ht="12" customHeight="1" thickBot="1" x14ac:dyDescent="0.25">
      <c r="A87" s="450" t="s">
        <v>323</v>
      </c>
      <c r="B87" s="427" t="s">
        <v>324</v>
      </c>
      <c r="C87" s="301">
        <f>'9.1.1. sz. mell ÖNK'!C87+'9.1.2. sz. mell ÖNK'!C87+'9.1.3. sz. mell ÖNK'!C87</f>
        <v>0</v>
      </c>
    </row>
    <row r="88" spans="1:3" s="98" customFormat="1" ht="12" customHeight="1" thickBot="1" x14ac:dyDescent="0.2">
      <c r="A88" s="447" t="s">
        <v>325</v>
      </c>
      <c r="B88" s="291" t="s">
        <v>467</v>
      </c>
      <c r="C88" s="471"/>
    </row>
    <row r="89" spans="1:3" s="98" customFormat="1" ht="12" customHeight="1" thickBot="1" x14ac:dyDescent="0.2">
      <c r="A89" s="447" t="s">
        <v>494</v>
      </c>
      <c r="B89" s="291" t="s">
        <v>326</v>
      </c>
      <c r="C89" s="471"/>
    </row>
    <row r="90" spans="1:3" s="98" customFormat="1" ht="12" customHeight="1" thickBot="1" x14ac:dyDescent="0.2">
      <c r="A90" s="447" t="s">
        <v>495</v>
      </c>
      <c r="B90" s="432" t="s">
        <v>470</v>
      </c>
      <c r="C90" s="302">
        <f>+C67+C71+C76+C79+C83+C89+C88</f>
        <v>950101937</v>
      </c>
    </row>
    <row r="91" spans="1:3" s="98" customFormat="1" ht="12" customHeight="1" thickBot="1" x14ac:dyDescent="0.2">
      <c r="A91" s="451" t="s">
        <v>496</v>
      </c>
      <c r="B91" s="433" t="s">
        <v>497</v>
      </c>
      <c r="C91" s="302">
        <f>+C66+C90</f>
        <v>1801446344</v>
      </c>
    </row>
    <row r="92" spans="1:3" s="99" customFormat="1" ht="15" customHeight="1" thickBot="1" x14ac:dyDescent="0.25">
      <c r="A92" s="249"/>
      <c r="B92" s="250"/>
      <c r="C92" s="366"/>
    </row>
    <row r="93" spans="1:3" s="72" customFormat="1" ht="16.5" customHeight="1" thickBot="1" x14ac:dyDescent="0.25">
      <c r="A93" s="253"/>
      <c r="B93" s="254" t="s">
        <v>54</v>
      </c>
      <c r="C93" s="368"/>
    </row>
    <row r="94" spans="1:3" s="100" customFormat="1" ht="12" customHeight="1" thickBot="1" x14ac:dyDescent="0.25">
      <c r="A94" s="417" t="s">
        <v>15</v>
      </c>
      <c r="B94" s="28" t="s">
        <v>501</v>
      </c>
      <c r="C94" s="295">
        <f>+C95+C96+C97+C99+C100+C113</f>
        <v>683048742</v>
      </c>
    </row>
    <row r="95" spans="1:3" ht="12" customHeight="1" x14ac:dyDescent="0.2">
      <c r="A95" s="452" t="s">
        <v>92</v>
      </c>
      <c r="B95" s="10" t="s">
        <v>46</v>
      </c>
      <c r="C95" s="536">
        <f>'9.1.1. sz. mell ÖNK'!C95+'9.1.2. sz. mell ÖNK'!C95+'9.1.3. sz. mell ÖNK'!C95</f>
        <v>155666773</v>
      </c>
    </row>
    <row r="96" spans="1:3" ht="12" customHeight="1" x14ac:dyDescent="0.2">
      <c r="A96" s="445" t="s">
        <v>93</v>
      </c>
      <c r="B96" s="8" t="s">
        <v>172</v>
      </c>
      <c r="C96" s="298">
        <f>'9.1.1. sz. mell ÖNK'!C96+'9.1.2. sz. mell ÖNK'!C96+'9.1.3. sz. mell ÖNK'!C96</f>
        <v>20161211</v>
      </c>
    </row>
    <row r="97" spans="1:5" ht="12" customHeight="1" x14ac:dyDescent="0.2">
      <c r="A97" s="445" t="s">
        <v>94</v>
      </c>
      <c r="B97" s="8" t="s">
        <v>134</v>
      </c>
      <c r="C97" s="298">
        <f>'9.1.1. sz. mell ÖNK'!C97+'9.1.2. sz. mell ÖNK'!C97+'9.1.3. sz. mell ÖNK'!C97</f>
        <v>161416326</v>
      </c>
    </row>
    <row r="98" spans="1:5" ht="12" customHeight="1" x14ac:dyDescent="0.2">
      <c r="A98" s="445"/>
      <c r="B98" s="570" t="s">
        <v>611</v>
      </c>
      <c r="C98" s="537">
        <f>+'9.1.1. sz. mell ÖNK'!C98</f>
        <v>2200000</v>
      </c>
    </row>
    <row r="99" spans="1:5" ht="12" customHeight="1" x14ac:dyDescent="0.2">
      <c r="A99" s="445" t="s">
        <v>95</v>
      </c>
      <c r="B99" s="11" t="s">
        <v>173</v>
      </c>
      <c r="C99" s="298">
        <f>'9.1.1. sz. mell ÖNK'!C99+'9.1.2. sz. mell ÖNK'!C98+'9.1.3. sz. mell ÖNK'!C98</f>
        <v>25982000</v>
      </c>
    </row>
    <row r="100" spans="1:5" ht="12" customHeight="1" x14ac:dyDescent="0.2">
      <c r="A100" s="445" t="s">
        <v>106</v>
      </c>
      <c r="B100" s="19" t="s">
        <v>174</v>
      </c>
      <c r="C100" s="537">
        <f>'9.1.1. sz. mell ÖNK'!C100+'9.1.2. sz. mell ÖNK'!C99+'9.1.3. sz. mell ÖNK'!C99</f>
        <v>25600000</v>
      </c>
    </row>
    <row r="101" spans="1:5" ht="12" customHeight="1" x14ac:dyDescent="0.2">
      <c r="A101" s="445" t="s">
        <v>96</v>
      </c>
      <c r="B101" s="8" t="s">
        <v>498</v>
      </c>
      <c r="C101" s="298">
        <f>'9.1.1. sz. mell ÖNK'!C101+'9.1.2. sz. mell ÖNK'!C100+'9.1.3. sz. mell ÖNK'!C100</f>
        <v>0</v>
      </c>
    </row>
    <row r="102" spans="1:5" ht="12" customHeight="1" x14ac:dyDescent="0.2">
      <c r="A102" s="445" t="s">
        <v>97</v>
      </c>
      <c r="B102" s="149" t="s">
        <v>433</v>
      </c>
      <c r="C102" s="537">
        <f>'9.1.1. sz. mell ÖNK'!C102+'9.1.2. sz. mell ÖNK'!C101+'9.1.3. sz. mell ÖNK'!C101</f>
        <v>0</v>
      </c>
    </row>
    <row r="103" spans="1:5" ht="12" customHeight="1" x14ac:dyDescent="0.2">
      <c r="A103" s="445" t="s">
        <v>107</v>
      </c>
      <c r="B103" s="149" t="s">
        <v>432</v>
      </c>
      <c r="C103" s="298">
        <f>'9.1.1. sz. mell ÖNK'!C103+'9.1.2. sz. mell ÖNK'!C102+'9.1.3. sz. mell ÖNK'!C102</f>
        <v>0</v>
      </c>
    </row>
    <row r="104" spans="1:5" ht="12" customHeight="1" x14ac:dyDescent="0.2">
      <c r="A104" s="445" t="s">
        <v>108</v>
      </c>
      <c r="B104" s="149" t="s">
        <v>342</v>
      </c>
      <c r="C104" s="537">
        <f>'9.1.1. sz. mell ÖNK'!C104+'9.1.2. sz. mell ÖNK'!C103+'9.1.3. sz. mell ÖNK'!C103</f>
        <v>0</v>
      </c>
    </row>
    <row r="105" spans="1:5" ht="12" customHeight="1" x14ac:dyDescent="0.2">
      <c r="A105" s="445" t="s">
        <v>109</v>
      </c>
      <c r="B105" s="150" t="s">
        <v>343</v>
      </c>
      <c r="C105" s="298">
        <f>'9.1.1. sz. mell ÖNK'!C105+'9.1.2. sz. mell ÖNK'!C104+'9.1.3. sz. mell ÖNK'!C104</f>
        <v>0</v>
      </c>
    </row>
    <row r="106" spans="1:5" ht="12" customHeight="1" x14ac:dyDescent="0.2">
      <c r="A106" s="445" t="s">
        <v>110</v>
      </c>
      <c r="B106" s="150" t="s">
        <v>344</v>
      </c>
      <c r="C106" s="537">
        <f>'9.1.1. sz. mell ÖNK'!C106+'9.1.2. sz. mell ÖNK'!C105+'9.1.3. sz. mell ÖNK'!C105</f>
        <v>0</v>
      </c>
    </row>
    <row r="107" spans="1:5" ht="12" customHeight="1" x14ac:dyDescent="0.2">
      <c r="A107" s="445" t="s">
        <v>112</v>
      </c>
      <c r="B107" s="149" t="s">
        <v>345</v>
      </c>
      <c r="C107" s="298">
        <f>'9.1.1. sz. mell ÖNK'!C107+'9.1.2. sz. mell ÖNK'!C106+'9.1.3. sz. mell ÖNK'!C106</f>
        <v>1600000</v>
      </c>
    </row>
    <row r="108" spans="1:5" ht="12" customHeight="1" x14ac:dyDescent="0.2">
      <c r="A108" s="445" t="s">
        <v>175</v>
      </c>
      <c r="B108" s="149" t="s">
        <v>346</v>
      </c>
      <c r="C108" s="298">
        <f>'9.1.1. sz. mell ÖNK'!C108+'9.1.2. sz. mell ÖNK'!C107+'9.1.3. sz. mell ÖNK'!C107</f>
        <v>0</v>
      </c>
    </row>
    <row r="109" spans="1:5" ht="12" customHeight="1" x14ac:dyDescent="0.2">
      <c r="A109" s="445" t="s">
        <v>340</v>
      </c>
      <c r="B109" s="150" t="s">
        <v>347</v>
      </c>
      <c r="C109" s="298">
        <f>'9.1.1. sz. mell ÖNK'!C109+'9.1.2. sz. mell ÖNK'!C108+'9.1.3. sz. mell ÖNK'!C108</f>
        <v>0</v>
      </c>
      <c r="E109" s="44">
        <f>C157-C91</f>
        <v>0</v>
      </c>
    </row>
    <row r="110" spans="1:5" ht="12" customHeight="1" x14ac:dyDescent="0.2">
      <c r="A110" s="453" t="s">
        <v>341</v>
      </c>
      <c r="B110" s="151" t="s">
        <v>348</v>
      </c>
      <c r="C110" s="298">
        <f>'9.1.1. sz. mell ÖNK'!C110+'9.1.2. sz. mell ÖNK'!C109+'9.1.3. sz. mell ÖNK'!C109</f>
        <v>0</v>
      </c>
    </row>
    <row r="111" spans="1:5" ht="12" customHeight="1" x14ac:dyDescent="0.2">
      <c r="A111" s="445" t="s">
        <v>430</v>
      </c>
      <c r="B111" s="151" t="s">
        <v>349</v>
      </c>
      <c r="C111" s="298">
        <f>'9.1.1. sz. mell ÖNK'!C111+'9.1.2. sz. mell ÖNK'!C110+'9.1.3. sz. mell ÖNK'!C110</f>
        <v>0</v>
      </c>
    </row>
    <row r="112" spans="1:5" ht="12" customHeight="1" x14ac:dyDescent="0.2">
      <c r="A112" s="445" t="s">
        <v>431</v>
      </c>
      <c r="B112" s="150" t="s">
        <v>350</v>
      </c>
      <c r="C112" s="298">
        <f>'9.1.1. sz. mell ÖNK'!C112+'9.1.2. sz. mell ÖNK'!C111+'9.1.3. sz. mell ÖNK'!C111</f>
        <v>24000000</v>
      </c>
    </row>
    <row r="113" spans="1:3" ht="12" customHeight="1" x14ac:dyDescent="0.2">
      <c r="A113" s="445" t="s">
        <v>435</v>
      </c>
      <c r="B113" s="11" t="s">
        <v>47</v>
      </c>
      <c r="C113" s="298">
        <f>'9.1.1. sz. mell ÖNK'!C113+'9.1.2. sz. mell ÖNK'!C112+'9.1.3. sz. mell ÖNK'!C112</f>
        <v>294222432</v>
      </c>
    </row>
    <row r="114" spans="1:3" ht="12" customHeight="1" x14ac:dyDescent="0.2">
      <c r="A114" s="446" t="s">
        <v>436</v>
      </c>
      <c r="B114" s="8" t="s">
        <v>499</v>
      </c>
      <c r="C114" s="298">
        <f>'9.1.1. sz. mell ÖNK'!C114+'9.1.2. sz. mell ÖNK'!C113+'9.1.3. sz. mell ÖNK'!C113</f>
        <v>0</v>
      </c>
    </row>
    <row r="115" spans="1:3" ht="12" customHeight="1" thickBot="1" x14ac:dyDescent="0.25">
      <c r="A115" s="454" t="s">
        <v>437</v>
      </c>
      <c r="B115" s="152" t="s">
        <v>500</v>
      </c>
      <c r="C115" s="299">
        <f>'9.1.1. sz. mell ÖNK'!C115+'9.1.2. sz. mell ÖNK'!C114+'9.1.3. sz. mell ÖNK'!C114</f>
        <v>294222432</v>
      </c>
    </row>
    <row r="116" spans="1:3" ht="12" customHeight="1" thickBot="1" x14ac:dyDescent="0.25">
      <c r="A116" s="33" t="s">
        <v>16</v>
      </c>
      <c r="B116" s="27" t="s">
        <v>351</v>
      </c>
      <c r="C116" s="296">
        <f>+C117+C119+C121</f>
        <v>615419203</v>
      </c>
    </row>
    <row r="117" spans="1:3" ht="12" customHeight="1" x14ac:dyDescent="0.2">
      <c r="A117" s="444" t="s">
        <v>98</v>
      </c>
      <c r="B117" s="8" t="s">
        <v>214</v>
      </c>
      <c r="C117" s="299">
        <f>'9.1.1. sz. mell ÖNK'!C117+'9.1.2. sz. mell ÖNK'!C116+'9.1.3. sz. mell ÖNK'!C95</f>
        <v>591118636</v>
      </c>
    </row>
    <row r="118" spans="1:3" ht="12" customHeight="1" x14ac:dyDescent="0.2">
      <c r="A118" s="444" t="s">
        <v>99</v>
      </c>
      <c r="B118" s="12" t="s">
        <v>355</v>
      </c>
      <c r="C118" s="299">
        <f>'9.1.1. sz. mell ÖNK'!C118+'9.1.2. sz. mell ÖNK'!C117+'9.1.3. sz. mell ÖNK'!C96</f>
        <v>0</v>
      </c>
    </row>
    <row r="119" spans="1:3" ht="12" customHeight="1" x14ac:dyDescent="0.2">
      <c r="A119" s="444" t="s">
        <v>100</v>
      </c>
      <c r="B119" s="12" t="s">
        <v>176</v>
      </c>
      <c r="C119" s="299">
        <f>'9.1.1. sz. mell ÖNK'!C119+'9.1.2. sz. mell ÖNK'!C118+'9.1.3. sz. mell ÖNK'!C97</f>
        <v>23000567</v>
      </c>
    </row>
    <row r="120" spans="1:3" ht="12" customHeight="1" x14ac:dyDescent="0.2">
      <c r="A120" s="444" t="s">
        <v>101</v>
      </c>
      <c r="B120" s="12" t="s">
        <v>356</v>
      </c>
      <c r="C120" s="299">
        <f>'9.1.1. sz. mell ÖNK'!C120+'9.1.2. sz. mell ÖNK'!C119+'9.1.3. sz. mell ÖNK'!C98</f>
        <v>0</v>
      </c>
    </row>
    <row r="121" spans="1:3" ht="12" customHeight="1" x14ac:dyDescent="0.2">
      <c r="A121" s="444" t="s">
        <v>102</v>
      </c>
      <c r="B121" s="293" t="s">
        <v>217</v>
      </c>
      <c r="C121" s="299">
        <f>'9.1.1. sz. mell ÖNK'!C121+'9.1.2. sz. mell ÖNK'!C120+'9.1.3. sz. mell ÖNK'!C99</f>
        <v>1300000</v>
      </c>
    </row>
    <row r="122" spans="1:3" ht="12" customHeight="1" x14ac:dyDescent="0.2">
      <c r="A122" s="444" t="s">
        <v>111</v>
      </c>
      <c r="B122" s="292" t="s">
        <v>420</v>
      </c>
      <c r="C122" s="299">
        <f>'9.1.1. sz. mell ÖNK'!C122+'9.1.2. sz. mell ÖNK'!C121+'9.1.3. sz. mell ÖNK'!C100</f>
        <v>0</v>
      </c>
    </row>
    <row r="123" spans="1:3" ht="12" customHeight="1" x14ac:dyDescent="0.2">
      <c r="A123" s="444" t="s">
        <v>113</v>
      </c>
      <c r="B123" s="421" t="s">
        <v>361</v>
      </c>
      <c r="C123" s="299">
        <f>'9.1.1. sz. mell ÖNK'!C123+'9.1.2. sz. mell ÖNK'!C122+'9.1.3. sz. mell ÖNK'!C101</f>
        <v>0</v>
      </c>
    </row>
    <row r="124" spans="1:3" ht="12" customHeight="1" x14ac:dyDescent="0.2">
      <c r="A124" s="444" t="s">
        <v>177</v>
      </c>
      <c r="B124" s="150" t="s">
        <v>344</v>
      </c>
      <c r="C124" s="299">
        <f>'9.1.1. sz. mell ÖNK'!C124+'9.1.2. sz. mell ÖNK'!C123+'9.1.3. sz. mell ÖNK'!C102</f>
        <v>0</v>
      </c>
    </row>
    <row r="125" spans="1:3" ht="12" customHeight="1" x14ac:dyDescent="0.2">
      <c r="A125" s="444" t="s">
        <v>178</v>
      </c>
      <c r="B125" s="150" t="s">
        <v>360</v>
      </c>
      <c r="C125" s="299">
        <f>'9.1.1. sz. mell ÖNK'!C125+'9.1.2. sz. mell ÖNK'!C124+'9.1.3. sz. mell ÖNK'!C103</f>
        <v>0</v>
      </c>
    </row>
    <row r="126" spans="1:3" ht="12" customHeight="1" x14ac:dyDescent="0.2">
      <c r="A126" s="444" t="s">
        <v>179</v>
      </c>
      <c r="B126" s="150" t="s">
        <v>359</v>
      </c>
      <c r="C126" s="299">
        <f>'9.1.1. sz. mell ÖNK'!C126+'9.1.2. sz. mell ÖNK'!C125+'9.1.3. sz. mell ÖNK'!C104</f>
        <v>0</v>
      </c>
    </row>
    <row r="127" spans="1:3" ht="12" customHeight="1" x14ac:dyDescent="0.2">
      <c r="A127" s="444" t="s">
        <v>352</v>
      </c>
      <c r="B127" s="150" t="s">
        <v>347</v>
      </c>
      <c r="C127" s="299">
        <f>'9.1.1. sz. mell ÖNK'!C127+'9.1.2. sz. mell ÖNK'!C126+'9.1.3. sz. mell ÖNK'!C105</f>
        <v>0</v>
      </c>
    </row>
    <row r="128" spans="1:3" ht="12" customHeight="1" x14ac:dyDescent="0.2">
      <c r="A128" s="444" t="s">
        <v>353</v>
      </c>
      <c r="B128" s="150" t="s">
        <v>358</v>
      </c>
      <c r="C128" s="299">
        <f>'9.1.1. sz. mell ÖNK'!C128+'9.1.2. sz. mell ÖNK'!C127+'9.1.3. sz. mell ÖNK'!C106</f>
        <v>0</v>
      </c>
    </row>
    <row r="129" spans="1:11" ht="12" customHeight="1" thickBot="1" x14ac:dyDescent="0.25">
      <c r="A129" s="453" t="s">
        <v>354</v>
      </c>
      <c r="B129" s="150" t="s">
        <v>357</v>
      </c>
      <c r="C129" s="299">
        <f>'9.1.1. sz. mell ÖNK'!C129+'9.1.2. sz. mell ÖNK'!C128+'9.1.3. sz. mell ÖNK'!C107</f>
        <v>1300000</v>
      </c>
    </row>
    <row r="130" spans="1:11" ht="12" customHeight="1" thickBot="1" x14ac:dyDescent="0.25">
      <c r="A130" s="33" t="s">
        <v>17</v>
      </c>
      <c r="B130" s="132" t="s">
        <v>440</v>
      </c>
      <c r="C130" s="296">
        <f>+C94+C116</f>
        <v>1298467945</v>
      </c>
    </row>
    <row r="131" spans="1:11" ht="12" customHeight="1" thickBot="1" x14ac:dyDescent="0.25">
      <c r="A131" s="33" t="s">
        <v>18</v>
      </c>
      <c r="B131" s="132" t="s">
        <v>441</v>
      </c>
      <c r="C131" s="296">
        <f>+C132+C133+C134</f>
        <v>5864000</v>
      </c>
    </row>
    <row r="132" spans="1:11" s="100" customFormat="1" ht="12" customHeight="1" x14ac:dyDescent="0.2">
      <c r="A132" s="444" t="s">
        <v>256</v>
      </c>
      <c r="B132" s="9" t="s">
        <v>504</v>
      </c>
      <c r="C132" s="279">
        <f>'9.1.1. sz. mell ÖNK'!C132+'9.1.2. sz. mell ÖNK'!C131+'9.1.3. sz. mell ÖNK'!C131</f>
        <v>5864000</v>
      </c>
    </row>
    <row r="133" spans="1:11" ht="12" customHeight="1" x14ac:dyDescent="0.2">
      <c r="A133" s="444" t="s">
        <v>257</v>
      </c>
      <c r="B133" s="9" t="s">
        <v>449</v>
      </c>
      <c r="C133" s="279">
        <f>'9.1.1. sz. mell ÖNK'!C133+'9.1.2. sz. mell ÖNK'!C132+'9.1.3. sz. mell ÖNK'!C132</f>
        <v>0</v>
      </c>
    </row>
    <row r="134" spans="1:11" ht="12" customHeight="1" thickBot="1" x14ac:dyDescent="0.25">
      <c r="A134" s="453" t="s">
        <v>258</v>
      </c>
      <c r="B134" s="7" t="s">
        <v>503</v>
      </c>
      <c r="C134" s="279">
        <f>'9.1.1. sz. mell ÖNK'!C134+'9.1.2. sz. mell ÖNK'!C133+'9.1.3. sz. mell ÖNK'!C133</f>
        <v>0</v>
      </c>
    </row>
    <row r="135" spans="1:11" ht="12" customHeight="1" thickBot="1" x14ac:dyDescent="0.25">
      <c r="A135" s="33" t="s">
        <v>19</v>
      </c>
      <c r="B135" s="132" t="s">
        <v>442</v>
      </c>
      <c r="C135" s="296">
        <f>+C136+C137+C138+C139+C140+C141</f>
        <v>0</v>
      </c>
    </row>
    <row r="136" spans="1:11" ht="12" customHeight="1" x14ac:dyDescent="0.2">
      <c r="A136" s="444" t="s">
        <v>85</v>
      </c>
      <c r="B136" s="9" t="s">
        <v>451</v>
      </c>
      <c r="C136" s="279">
        <f>'9.1.1. sz. mell ÖNK'!C136+'9.1.2. sz. mell ÖNK'!C135+'9.1.3. sz. mell ÖNK'!C135</f>
        <v>0</v>
      </c>
    </row>
    <row r="137" spans="1:11" ht="12" customHeight="1" x14ac:dyDescent="0.2">
      <c r="A137" s="444" t="s">
        <v>86</v>
      </c>
      <c r="B137" s="9" t="s">
        <v>443</v>
      </c>
      <c r="C137" s="279">
        <f>'9.1.1. sz. mell ÖNK'!C137+'9.1.2. sz. mell ÖNK'!C136+'9.1.3. sz. mell ÖNK'!C136</f>
        <v>0</v>
      </c>
    </row>
    <row r="138" spans="1:11" ht="12" customHeight="1" x14ac:dyDescent="0.2">
      <c r="A138" s="444" t="s">
        <v>87</v>
      </c>
      <c r="B138" s="9" t="s">
        <v>444</v>
      </c>
      <c r="C138" s="279">
        <f>'9.1.1. sz. mell ÖNK'!C138+'9.1.2. sz. mell ÖNK'!C137+'9.1.3. sz. mell ÖNK'!C137</f>
        <v>0</v>
      </c>
    </row>
    <row r="139" spans="1:11" ht="12" customHeight="1" x14ac:dyDescent="0.2">
      <c r="A139" s="444" t="s">
        <v>164</v>
      </c>
      <c r="B139" s="9" t="s">
        <v>502</v>
      </c>
      <c r="C139" s="279">
        <f>'9.1.1. sz. mell ÖNK'!C139+'9.1.2. sz. mell ÖNK'!C138+'9.1.3. sz. mell ÖNK'!C138</f>
        <v>0</v>
      </c>
    </row>
    <row r="140" spans="1:11" ht="12" customHeight="1" x14ac:dyDescent="0.2">
      <c r="A140" s="444" t="s">
        <v>165</v>
      </c>
      <c r="B140" s="9" t="s">
        <v>446</v>
      </c>
      <c r="C140" s="279">
        <f>'9.1.1. sz. mell ÖNK'!C140+'9.1.2. sz. mell ÖNK'!C139+'9.1.3. sz. mell ÖNK'!C139</f>
        <v>0</v>
      </c>
    </row>
    <row r="141" spans="1:11" s="100" customFormat="1" ht="12" customHeight="1" thickBot="1" x14ac:dyDescent="0.25">
      <c r="A141" s="453" t="s">
        <v>166</v>
      </c>
      <c r="B141" s="7" t="s">
        <v>447</v>
      </c>
      <c r="C141" s="279">
        <f>'9.1.1. sz. mell ÖNK'!C141+'9.1.2. sz. mell ÖNK'!C140+'9.1.3. sz. mell ÖNK'!C140</f>
        <v>0</v>
      </c>
    </row>
    <row r="142" spans="1:11" ht="12" customHeight="1" thickBot="1" x14ac:dyDescent="0.25">
      <c r="A142" s="33" t="s">
        <v>20</v>
      </c>
      <c r="B142" s="132" t="s">
        <v>529</v>
      </c>
      <c r="C142" s="302">
        <f>+C143+C144+C146+C147+C145</f>
        <v>497114399</v>
      </c>
      <c r="K142" s="261"/>
    </row>
    <row r="143" spans="1:11" x14ac:dyDescent="0.2">
      <c r="A143" s="444" t="s">
        <v>88</v>
      </c>
      <c r="B143" s="9" t="s">
        <v>362</v>
      </c>
      <c r="C143" s="279">
        <f>'9.1.1. sz. mell ÖNK'!C143+'9.1.2. sz. mell ÖNK'!C142+'9.1.3. sz. mell ÖNK'!C142</f>
        <v>0</v>
      </c>
    </row>
    <row r="144" spans="1:11" ht="12" customHeight="1" x14ac:dyDescent="0.2">
      <c r="A144" s="444" t="s">
        <v>89</v>
      </c>
      <c r="B144" s="9" t="s">
        <v>363</v>
      </c>
      <c r="C144" s="279">
        <f>'9.1.1. sz. mell ÖNK'!C144+'9.1.2. sz. mell ÖNK'!C143+'9.1.3. sz. mell ÖNK'!C143</f>
        <v>17448337</v>
      </c>
    </row>
    <row r="145" spans="1:3" ht="12" customHeight="1" x14ac:dyDescent="0.2">
      <c r="A145" s="444" t="s">
        <v>276</v>
      </c>
      <c r="B145" s="9" t="s">
        <v>528</v>
      </c>
      <c r="C145" s="279">
        <f>'9.1.1. sz. mell ÖNK'!C145+'9.1.2. sz. mell ÖNK'!C144+'9.1.3. sz. mell ÖNK'!C144</f>
        <v>478547052</v>
      </c>
    </row>
    <row r="146" spans="1:3" s="100" customFormat="1" ht="12" customHeight="1" x14ac:dyDescent="0.2">
      <c r="A146" s="444" t="s">
        <v>277</v>
      </c>
      <c r="B146" s="9" t="s">
        <v>456</v>
      </c>
      <c r="C146" s="279">
        <f>'9.1.1. sz. mell ÖNK'!C146+'9.1.2. sz. mell ÖNK'!C145+'9.1.3. sz. mell ÖNK'!C145</f>
        <v>0</v>
      </c>
    </row>
    <row r="147" spans="1:3" s="100" customFormat="1" ht="12" customHeight="1" thickBot="1" x14ac:dyDescent="0.25">
      <c r="A147" s="453" t="s">
        <v>278</v>
      </c>
      <c r="B147" s="7" t="s">
        <v>382</v>
      </c>
      <c r="C147" s="279">
        <f>'9.1.1. sz. mell ÖNK'!C147+'9.1.2. sz. mell ÖNK'!C146+'9.1.3. sz. mell ÖNK'!C146</f>
        <v>1119010</v>
      </c>
    </row>
    <row r="148" spans="1:3" s="100" customFormat="1" ht="12" customHeight="1" thickBot="1" x14ac:dyDescent="0.25">
      <c r="A148" s="33" t="s">
        <v>21</v>
      </c>
      <c r="B148" s="132" t="s">
        <v>457</v>
      </c>
      <c r="C148" s="305">
        <f>+C149+C150+C151+C152+C153</f>
        <v>0</v>
      </c>
    </row>
    <row r="149" spans="1:3" s="100" customFormat="1" ht="12" customHeight="1" x14ac:dyDescent="0.2">
      <c r="A149" s="444" t="s">
        <v>90</v>
      </c>
      <c r="B149" s="9" t="s">
        <v>452</v>
      </c>
      <c r="C149" s="279">
        <f>'9.1.1. sz. mell ÖNK'!C149+'9.1.2. sz. mell ÖNK'!C148+'9.1.3. sz. mell ÖNK'!C148</f>
        <v>0</v>
      </c>
    </row>
    <row r="150" spans="1:3" s="100" customFormat="1" ht="12" customHeight="1" x14ac:dyDescent="0.2">
      <c r="A150" s="444" t="s">
        <v>91</v>
      </c>
      <c r="B150" s="9" t="s">
        <v>459</v>
      </c>
      <c r="C150" s="279">
        <f>'9.1.1. sz. mell ÖNK'!C150+'9.1.2. sz. mell ÖNK'!C149+'9.1.3. sz. mell ÖNK'!C149</f>
        <v>0</v>
      </c>
    </row>
    <row r="151" spans="1:3" s="100" customFormat="1" ht="12" customHeight="1" x14ac:dyDescent="0.2">
      <c r="A151" s="444" t="s">
        <v>288</v>
      </c>
      <c r="B151" s="9" t="s">
        <v>454</v>
      </c>
      <c r="C151" s="279">
        <f>'9.1.1. sz. mell ÖNK'!C151+'9.1.2. sz. mell ÖNK'!C150+'9.1.3. sz. mell ÖNK'!C150</f>
        <v>0</v>
      </c>
    </row>
    <row r="152" spans="1:3" s="100" customFormat="1" ht="12" customHeight="1" x14ac:dyDescent="0.2">
      <c r="A152" s="444" t="s">
        <v>289</v>
      </c>
      <c r="B152" s="9" t="s">
        <v>505</v>
      </c>
      <c r="C152" s="279">
        <f>'9.1.1. sz. mell ÖNK'!C152+'9.1.2. sz. mell ÖNK'!C151+'9.1.3. sz. mell ÖNK'!C151</f>
        <v>0</v>
      </c>
    </row>
    <row r="153" spans="1:3" ht="12.75" customHeight="1" thickBot="1" x14ac:dyDescent="0.25">
      <c r="A153" s="453" t="s">
        <v>458</v>
      </c>
      <c r="B153" s="7" t="s">
        <v>461</v>
      </c>
      <c r="C153" s="281">
        <f>'9.1.1. sz. mell ÖNK'!C153+'9.1.2. sz. mell ÖNK'!C152+'9.1.3. sz. mell ÖNK'!C152</f>
        <v>0</v>
      </c>
    </row>
    <row r="154" spans="1:3" ht="12.75" customHeight="1" thickBot="1" x14ac:dyDescent="0.25">
      <c r="A154" s="497" t="s">
        <v>22</v>
      </c>
      <c r="B154" s="132" t="s">
        <v>462</v>
      </c>
      <c r="C154" s="539">
        <f>'9.1.1. sz. mell ÖNK'!C154+'9.1.2. sz. mell ÖNK'!C153+'9.1.3. sz. mell ÖNK'!C153</f>
        <v>0</v>
      </c>
    </row>
    <row r="155" spans="1:3" ht="12.75" customHeight="1" thickBot="1" x14ac:dyDescent="0.25">
      <c r="A155" s="538" t="s">
        <v>23</v>
      </c>
      <c r="B155" s="533" t="s">
        <v>463</v>
      </c>
      <c r="C155" s="280">
        <f>'9.1.1. sz. mell ÖNK'!C155+'9.1.2. sz. mell ÖNK'!C154+'9.1.3. sz. mell ÖNK'!C154</f>
        <v>0</v>
      </c>
    </row>
    <row r="156" spans="1:3" ht="12" customHeight="1" thickBot="1" x14ac:dyDescent="0.25">
      <c r="A156" s="33" t="s">
        <v>24</v>
      </c>
      <c r="B156" s="132" t="s">
        <v>465</v>
      </c>
      <c r="C156" s="435">
        <f>+C131+C135+C142+C148+C154+C155</f>
        <v>502978399</v>
      </c>
    </row>
    <row r="157" spans="1:3" ht="15" customHeight="1" thickBot="1" x14ac:dyDescent="0.25">
      <c r="A157" s="455" t="s">
        <v>25</v>
      </c>
      <c r="B157" s="387" t="s">
        <v>464</v>
      </c>
      <c r="C157" s="435">
        <f>+C130+C156</f>
        <v>1801446344</v>
      </c>
    </row>
    <row r="158" spans="1:3" ht="13.5" thickBot="1" x14ac:dyDescent="0.25">
      <c r="A158" s="395"/>
      <c r="B158" s="396"/>
      <c r="C158" s="397"/>
    </row>
    <row r="159" spans="1:3" ht="15" customHeight="1" thickBot="1" x14ac:dyDescent="0.25">
      <c r="A159" s="258" t="s">
        <v>506</v>
      </c>
      <c r="B159" s="259"/>
      <c r="C159" s="129">
        <f>'9.1.1. sz. mell ÖNK'!C159+'9.1.2. sz. mell ÖNK'!C158+'9.1.3. sz. mell ÖNK'!C158</f>
        <v>0</v>
      </c>
    </row>
    <row r="160" spans="1:3" ht="14.25" customHeight="1" thickBot="1" x14ac:dyDescent="0.25">
      <c r="A160" s="258" t="s">
        <v>195</v>
      </c>
      <c r="B160" s="259"/>
      <c r="C160" s="129">
        <f>'9.1.1. sz. mell ÖNK'!C160+'9.1.2. sz. mell ÖNK'!C159+'9.1.3. sz. mell ÖNK'!C159</f>
        <v>0</v>
      </c>
    </row>
  </sheetData>
  <sheetProtection formatCells="0"/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0"/>
  <sheetViews>
    <sheetView topLeftCell="A124" zoomScaleNormal="100" zoomScaleSheetLayoutView="130" workbookViewId="0">
      <selection activeCell="C116" sqref="C116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4" width="15.5" style="3" customWidth="1"/>
    <col min="5" max="5" width="20.83203125" style="3" bestFit="1" customWidth="1"/>
    <col min="6" max="6" width="17" style="3" bestFit="1" customWidth="1"/>
    <col min="7" max="16384" width="9.33203125" style="3"/>
  </cols>
  <sheetData>
    <row r="1" spans="1:5" s="2" customFormat="1" ht="16.5" customHeight="1" thickBot="1" x14ac:dyDescent="0.25">
      <c r="A1" s="236"/>
      <c r="B1" s="238"/>
      <c r="C1" s="260" t="str">
        <f>+CONCATENATE("9.1.1. melléklet a …./",LEFT(ÖSSZEFÜGGÉSEK!A5,4),". (……..) önkormányzati rendelethez")</f>
        <v>9.1.1. melléklet a …./2019. (……..) önkormányzati rendelethez</v>
      </c>
    </row>
    <row r="2" spans="1:5" s="96" customFormat="1" ht="21" customHeight="1" x14ac:dyDescent="0.2">
      <c r="A2" s="415" t="s">
        <v>59</v>
      </c>
      <c r="B2" s="357" t="s">
        <v>554</v>
      </c>
      <c r="C2" s="359" t="s">
        <v>51</v>
      </c>
    </row>
    <row r="3" spans="1:5" s="96" customFormat="1" ht="16.5" thickBot="1" x14ac:dyDescent="0.25">
      <c r="A3" s="239" t="s">
        <v>192</v>
      </c>
      <c r="B3" s="358" t="s">
        <v>421</v>
      </c>
      <c r="C3" s="496" t="s">
        <v>51</v>
      </c>
    </row>
    <row r="4" spans="1:5" s="97" customFormat="1" ht="15.95" customHeight="1" thickBot="1" x14ac:dyDescent="0.3">
      <c r="A4" s="240"/>
      <c r="B4" s="240"/>
      <c r="C4" s="241" t="s">
        <v>562</v>
      </c>
    </row>
    <row r="5" spans="1:5" ht="13.5" thickBot="1" x14ac:dyDescent="0.25">
      <c r="A5" s="416" t="s">
        <v>194</v>
      </c>
      <c r="B5" s="242" t="s">
        <v>551</v>
      </c>
      <c r="C5" s="360" t="s">
        <v>654</v>
      </c>
    </row>
    <row r="6" spans="1:5" s="72" customFormat="1" ht="12.95" customHeight="1" thickBot="1" x14ac:dyDescent="0.25">
      <c r="A6" s="205"/>
      <c r="B6" s="206" t="s">
        <v>484</v>
      </c>
      <c r="C6" s="207" t="s">
        <v>485</v>
      </c>
    </row>
    <row r="7" spans="1:5" s="72" customFormat="1" ht="15.95" customHeight="1" thickBot="1" x14ac:dyDescent="0.25">
      <c r="A7" s="243"/>
      <c r="B7" s="244" t="s">
        <v>53</v>
      </c>
      <c r="C7" s="361"/>
    </row>
    <row r="8" spans="1:5" s="72" customFormat="1" ht="12" customHeight="1" thickBot="1" x14ac:dyDescent="0.25">
      <c r="A8" s="33" t="s">
        <v>15</v>
      </c>
      <c r="B8" s="21" t="s">
        <v>240</v>
      </c>
      <c r="C8" s="296">
        <f>+C9+C10+C11+C12+C13+C14</f>
        <v>494605474</v>
      </c>
    </row>
    <row r="9" spans="1:5" s="98" customFormat="1" ht="12" customHeight="1" x14ac:dyDescent="0.2">
      <c r="A9" s="444" t="s">
        <v>92</v>
      </c>
      <c r="B9" s="425" t="s">
        <v>241</v>
      </c>
      <c r="C9" s="299">
        <v>205364731</v>
      </c>
    </row>
    <row r="10" spans="1:5" s="99" customFormat="1" ht="12" customHeight="1" x14ac:dyDescent="0.2">
      <c r="A10" s="445" t="s">
        <v>93</v>
      </c>
      <c r="B10" s="426" t="s">
        <v>242</v>
      </c>
      <c r="C10" s="298">
        <v>67194367</v>
      </c>
    </row>
    <row r="11" spans="1:5" s="99" customFormat="1" ht="12" customHeight="1" x14ac:dyDescent="0.2">
      <c r="A11" s="445" t="s">
        <v>94</v>
      </c>
      <c r="B11" s="426" t="s">
        <v>538</v>
      </c>
      <c r="C11" s="298">
        <v>179020908</v>
      </c>
    </row>
    <row r="12" spans="1:5" s="99" customFormat="1" ht="12" customHeight="1" x14ac:dyDescent="0.2">
      <c r="A12" s="445" t="s">
        <v>95</v>
      </c>
      <c r="B12" s="426" t="s">
        <v>244</v>
      </c>
      <c r="C12" s="298">
        <v>8433700</v>
      </c>
      <c r="E12" s="569">
        <f>SUM(E13:E15)+E17</f>
        <v>3956400</v>
      </c>
    </row>
    <row r="13" spans="1:5" s="99" customFormat="1" ht="12" customHeight="1" x14ac:dyDescent="0.2">
      <c r="A13" s="445" t="s">
        <v>141</v>
      </c>
      <c r="B13" s="426" t="s">
        <v>493</v>
      </c>
      <c r="C13" s="298">
        <f>19008000+15583768</f>
        <v>34591768</v>
      </c>
      <c r="D13" s="544" t="s">
        <v>568</v>
      </c>
      <c r="E13" s="543">
        <v>3360000</v>
      </c>
    </row>
    <row r="14" spans="1:5" s="98" customFormat="1" ht="12" customHeight="1" thickBot="1" x14ac:dyDescent="0.25">
      <c r="A14" s="446" t="s">
        <v>96</v>
      </c>
      <c r="B14" s="427" t="s">
        <v>425</v>
      </c>
      <c r="C14" s="298"/>
      <c r="D14" s="544" t="s">
        <v>569</v>
      </c>
      <c r="E14" s="543"/>
    </row>
    <row r="15" spans="1:5" s="98" customFormat="1" ht="12" customHeight="1" thickBot="1" x14ac:dyDescent="0.25">
      <c r="A15" s="33" t="s">
        <v>16</v>
      </c>
      <c r="B15" s="291" t="s">
        <v>245</v>
      </c>
      <c r="C15" s="296">
        <f>+C16+C17+C18+C19+C20</f>
        <v>137547363</v>
      </c>
      <c r="D15" s="544" t="s">
        <v>570</v>
      </c>
      <c r="E15" s="543"/>
    </row>
    <row r="16" spans="1:5" s="98" customFormat="1" ht="12" customHeight="1" x14ac:dyDescent="0.2">
      <c r="A16" s="444" t="s">
        <v>98</v>
      </c>
      <c r="B16" s="425" t="s">
        <v>246</v>
      </c>
      <c r="C16" s="299"/>
      <c r="D16" s="544" t="s">
        <v>627</v>
      </c>
      <c r="E16" s="543"/>
    </row>
    <row r="17" spans="1:6" s="98" customFormat="1" ht="12" customHeight="1" x14ac:dyDescent="0.2">
      <c r="A17" s="445" t="s">
        <v>99</v>
      </c>
      <c r="B17" s="426" t="s">
        <v>247</v>
      </c>
      <c r="C17" s="298"/>
      <c r="D17" s="99" t="s">
        <v>571</v>
      </c>
      <c r="E17" s="543">
        <v>596400</v>
      </c>
    </row>
    <row r="18" spans="1:6" s="98" customFormat="1" ht="12" customHeight="1" x14ac:dyDescent="0.2">
      <c r="A18" s="445" t="s">
        <v>100</v>
      </c>
      <c r="B18" s="426" t="s">
        <v>414</v>
      </c>
      <c r="C18" s="298"/>
      <c r="E18" s="543"/>
    </row>
    <row r="19" spans="1:6" s="98" customFormat="1" ht="12" customHeight="1" x14ac:dyDescent="0.2">
      <c r="A19" s="445" t="s">
        <v>101</v>
      </c>
      <c r="B19" s="426" t="s">
        <v>415</v>
      </c>
      <c r="C19" s="298"/>
      <c r="E19" s="545"/>
    </row>
    <row r="20" spans="1:6" s="98" customFormat="1" ht="12" customHeight="1" x14ac:dyDescent="0.2">
      <c r="A20" s="445" t="s">
        <v>102</v>
      </c>
      <c r="B20" s="426" t="s">
        <v>248</v>
      </c>
      <c r="C20" s="298">
        <f>210953048-73405685</f>
        <v>137547363</v>
      </c>
      <c r="D20" s="544" t="s">
        <v>659</v>
      </c>
      <c r="E20" s="543">
        <v>1552395</v>
      </c>
    </row>
    <row r="21" spans="1:6" s="99" customFormat="1" ht="12" customHeight="1" thickBot="1" x14ac:dyDescent="0.25">
      <c r="A21" s="446" t="s">
        <v>111</v>
      </c>
      <c r="B21" s="427" t="s">
        <v>249</v>
      </c>
      <c r="C21" s="300"/>
      <c r="D21" s="568" t="s">
        <v>660</v>
      </c>
      <c r="E21" s="543">
        <f>3295354+9252406+1483613</f>
        <v>14031373</v>
      </c>
      <c r="F21" s="569">
        <f>+E20+E21+E22</f>
        <v>15583768</v>
      </c>
    </row>
    <row r="22" spans="1:6" s="99" customFormat="1" ht="12" customHeight="1" thickBot="1" x14ac:dyDescent="0.25">
      <c r="A22" s="33" t="s">
        <v>17</v>
      </c>
      <c r="B22" s="21" t="s">
        <v>250</v>
      </c>
      <c r="C22" s="296">
        <f>+C23+C24+C25+C26+C27</f>
        <v>17511265</v>
      </c>
      <c r="E22" s="543"/>
    </row>
    <row r="23" spans="1:6" s="99" customFormat="1" ht="12" customHeight="1" x14ac:dyDescent="0.2">
      <c r="A23" s="444" t="s">
        <v>81</v>
      </c>
      <c r="B23" s="425" t="s">
        <v>251</v>
      </c>
      <c r="C23" s="299"/>
      <c r="E23" s="569"/>
    </row>
    <row r="24" spans="1:6" s="98" customFormat="1" ht="12" customHeight="1" x14ac:dyDescent="0.2">
      <c r="A24" s="445" t="s">
        <v>82</v>
      </c>
      <c r="B24" s="426" t="s">
        <v>252</v>
      </c>
      <c r="C24" s="298"/>
      <c r="D24" s="544" t="s">
        <v>609</v>
      </c>
      <c r="E24" s="543"/>
    </row>
    <row r="25" spans="1:6" s="99" customFormat="1" ht="12" customHeight="1" x14ac:dyDescent="0.2">
      <c r="A25" s="445" t="s">
        <v>83</v>
      </c>
      <c r="B25" s="426" t="s">
        <v>416</v>
      </c>
      <c r="C25" s="298"/>
      <c r="E25" s="569">
        <f>E23+E24</f>
        <v>0</v>
      </c>
    </row>
    <row r="26" spans="1:6" s="99" customFormat="1" ht="12" customHeight="1" x14ac:dyDescent="0.2">
      <c r="A26" s="445" t="s">
        <v>84</v>
      </c>
      <c r="B26" s="426" t="s">
        <v>417</v>
      </c>
      <c r="C26" s="298"/>
    </row>
    <row r="27" spans="1:6" s="99" customFormat="1" ht="12" customHeight="1" x14ac:dyDescent="0.2">
      <c r="A27" s="445" t="s">
        <v>160</v>
      </c>
      <c r="B27" s="426" t="s">
        <v>253</v>
      </c>
      <c r="C27" s="298">
        <f>2511265+15000000</f>
        <v>17511265</v>
      </c>
    </row>
    <row r="28" spans="1:6" s="99" customFormat="1" ht="12" customHeight="1" thickBot="1" x14ac:dyDescent="0.25">
      <c r="A28" s="446" t="s">
        <v>161</v>
      </c>
      <c r="B28" s="427" t="s">
        <v>254</v>
      </c>
      <c r="C28" s="300"/>
    </row>
    <row r="29" spans="1:6" s="99" customFormat="1" ht="12" customHeight="1" thickBot="1" x14ac:dyDescent="0.25">
      <c r="A29" s="33" t="s">
        <v>162</v>
      </c>
      <c r="B29" s="21" t="s">
        <v>548</v>
      </c>
      <c r="C29" s="302">
        <f>SUM(C30:C37)</f>
        <v>118770710</v>
      </c>
    </row>
    <row r="30" spans="1:6" s="99" customFormat="1" ht="12" customHeight="1" x14ac:dyDescent="0.2">
      <c r="A30" s="444" t="s">
        <v>256</v>
      </c>
      <c r="B30" s="425" t="s">
        <v>543</v>
      </c>
      <c r="C30" s="299"/>
    </row>
    <row r="31" spans="1:6" s="99" customFormat="1" ht="12" customHeight="1" x14ac:dyDescent="0.2">
      <c r="A31" s="445" t="s">
        <v>257</v>
      </c>
      <c r="B31" s="426" t="s">
        <v>544</v>
      </c>
      <c r="C31" s="298">
        <v>15000</v>
      </c>
    </row>
    <row r="32" spans="1:6" s="99" customFormat="1" ht="12" customHeight="1" x14ac:dyDescent="0.2">
      <c r="A32" s="445" t="s">
        <v>258</v>
      </c>
      <c r="B32" s="426" t="s">
        <v>628</v>
      </c>
      <c r="C32" s="298">
        <v>17100000</v>
      </c>
    </row>
    <row r="33" spans="1:6" s="99" customFormat="1" ht="12" customHeight="1" x14ac:dyDescent="0.2">
      <c r="A33" s="445" t="s">
        <v>259</v>
      </c>
      <c r="B33" s="426" t="s">
        <v>545</v>
      </c>
      <c r="C33" s="298">
        <f>90000000-'9.1.2. sz. mell ÖNK'!C33</f>
        <v>85245710</v>
      </c>
    </row>
    <row r="34" spans="1:6" s="99" customFormat="1" ht="12" customHeight="1" x14ac:dyDescent="0.2">
      <c r="A34" s="445" t="s">
        <v>540</v>
      </c>
      <c r="B34" s="426" t="s">
        <v>546</v>
      </c>
      <c r="C34" s="298">
        <v>10000</v>
      </c>
      <c r="E34" s="542"/>
    </row>
    <row r="35" spans="1:6" s="99" customFormat="1" ht="12" customHeight="1" x14ac:dyDescent="0.2">
      <c r="A35" s="445" t="s">
        <v>541</v>
      </c>
      <c r="B35" s="426" t="s">
        <v>260</v>
      </c>
      <c r="C35" s="298">
        <v>15000000</v>
      </c>
      <c r="E35" s="542"/>
    </row>
    <row r="36" spans="1:6" s="99" customFormat="1" ht="12" customHeight="1" x14ac:dyDescent="0.2">
      <c r="A36" s="446" t="s">
        <v>542</v>
      </c>
      <c r="B36" s="426" t="s">
        <v>261</v>
      </c>
      <c r="C36" s="298"/>
      <c r="E36" s="542"/>
    </row>
    <row r="37" spans="1:6" s="99" customFormat="1" ht="12" customHeight="1" thickBot="1" x14ac:dyDescent="0.25">
      <c r="A37" s="446" t="s">
        <v>629</v>
      </c>
      <c r="B37" s="522" t="s">
        <v>262</v>
      </c>
      <c r="C37" s="300">
        <v>1400000</v>
      </c>
      <c r="E37" s="542"/>
    </row>
    <row r="38" spans="1:6" s="99" customFormat="1" ht="12" customHeight="1" thickBot="1" x14ac:dyDescent="0.25">
      <c r="A38" s="33" t="s">
        <v>19</v>
      </c>
      <c r="B38" s="21" t="s">
        <v>426</v>
      </c>
      <c r="C38" s="296">
        <f>SUM(C39:C49)</f>
        <v>13959953</v>
      </c>
      <c r="E38" s="542"/>
    </row>
    <row r="39" spans="1:6" s="99" customFormat="1" ht="12" customHeight="1" x14ac:dyDescent="0.2">
      <c r="A39" s="444" t="s">
        <v>85</v>
      </c>
      <c r="B39" s="425" t="s">
        <v>265</v>
      </c>
      <c r="C39" s="299">
        <v>1332941</v>
      </c>
    </row>
    <row r="40" spans="1:6" s="99" customFormat="1" ht="12" customHeight="1" x14ac:dyDescent="0.2">
      <c r="A40" s="445" t="s">
        <v>86</v>
      </c>
      <c r="B40" s="426" t="s">
        <v>266</v>
      </c>
      <c r="C40" s="298">
        <v>8300000</v>
      </c>
      <c r="E40" s="542"/>
    </row>
    <row r="41" spans="1:6" s="99" customFormat="1" ht="12" customHeight="1" x14ac:dyDescent="0.2">
      <c r="A41" s="445" t="s">
        <v>87</v>
      </c>
      <c r="B41" s="426" t="s">
        <v>267</v>
      </c>
      <c r="C41" s="298">
        <v>2800000</v>
      </c>
    </row>
    <row r="42" spans="1:6" s="99" customFormat="1" ht="12" customHeight="1" x14ac:dyDescent="0.2">
      <c r="A42" s="445" t="s">
        <v>164</v>
      </c>
      <c r="B42" s="426" t="s">
        <v>268</v>
      </c>
      <c r="C42" s="298"/>
    </row>
    <row r="43" spans="1:6" s="99" customFormat="1" ht="12" customHeight="1" x14ac:dyDescent="0.2">
      <c r="A43" s="445" t="s">
        <v>165</v>
      </c>
      <c r="B43" s="426" t="s">
        <v>269</v>
      </c>
      <c r="C43" s="298"/>
    </row>
    <row r="44" spans="1:6" s="99" customFormat="1" ht="12" customHeight="1" x14ac:dyDescent="0.2">
      <c r="A44" s="445" t="s">
        <v>166</v>
      </c>
      <c r="B44" s="426" t="s">
        <v>270</v>
      </c>
      <c r="C44" s="298">
        <v>1527012</v>
      </c>
    </row>
    <row r="45" spans="1:6" s="99" customFormat="1" ht="12" customHeight="1" x14ac:dyDescent="0.2">
      <c r="A45" s="445" t="s">
        <v>167</v>
      </c>
      <c r="B45" s="426" t="s">
        <v>271</v>
      </c>
      <c r="C45" s="298"/>
    </row>
    <row r="46" spans="1:6" s="99" customFormat="1" ht="12" customHeight="1" x14ac:dyDescent="0.2">
      <c r="A46" s="445" t="s">
        <v>168</v>
      </c>
      <c r="B46" s="426" t="s">
        <v>547</v>
      </c>
      <c r="C46" s="298"/>
      <c r="F46" s="542"/>
    </row>
    <row r="47" spans="1:6" s="99" customFormat="1" ht="12" customHeight="1" x14ac:dyDescent="0.2">
      <c r="A47" s="445" t="s">
        <v>263</v>
      </c>
      <c r="B47" s="426" t="s">
        <v>273</v>
      </c>
      <c r="C47" s="301"/>
      <c r="F47" s="542"/>
    </row>
    <row r="48" spans="1:6" s="99" customFormat="1" ht="12" customHeight="1" x14ac:dyDescent="0.2">
      <c r="A48" s="446" t="s">
        <v>264</v>
      </c>
      <c r="B48" s="427" t="s">
        <v>428</v>
      </c>
      <c r="C48" s="411"/>
      <c r="F48" s="542"/>
    </row>
    <row r="49" spans="1:6" s="99" customFormat="1" ht="12" customHeight="1" thickBot="1" x14ac:dyDescent="0.25">
      <c r="A49" s="446" t="s">
        <v>427</v>
      </c>
      <c r="B49" s="427" t="s">
        <v>274</v>
      </c>
      <c r="C49" s="411"/>
      <c r="F49" s="542"/>
    </row>
    <row r="50" spans="1:6" s="99" customFormat="1" ht="12" customHeight="1" thickBot="1" x14ac:dyDescent="0.25">
      <c r="A50" s="33" t="s">
        <v>20</v>
      </c>
      <c r="B50" s="21" t="s">
        <v>275</v>
      </c>
      <c r="C50" s="296">
        <f>SUM(C51:C55)</f>
        <v>57540240</v>
      </c>
      <c r="F50" s="542"/>
    </row>
    <row r="51" spans="1:6" s="99" customFormat="1" ht="12" customHeight="1" x14ac:dyDescent="0.2">
      <c r="A51" s="444" t="s">
        <v>88</v>
      </c>
      <c r="B51" s="425" t="s">
        <v>279</v>
      </c>
      <c r="C51" s="470"/>
      <c r="F51" s="542"/>
    </row>
    <row r="52" spans="1:6" s="99" customFormat="1" ht="12" customHeight="1" x14ac:dyDescent="0.2">
      <c r="A52" s="445" t="s">
        <v>89</v>
      </c>
      <c r="B52" s="426" t="s">
        <v>280</v>
      </c>
      <c r="C52" s="301">
        <f>37631869+18128371</f>
        <v>55760240</v>
      </c>
    </row>
    <row r="53" spans="1:6" s="99" customFormat="1" ht="12" customHeight="1" x14ac:dyDescent="0.2">
      <c r="A53" s="445" t="s">
        <v>276</v>
      </c>
      <c r="B53" s="426" t="s">
        <v>281</v>
      </c>
      <c r="C53" s="301">
        <v>1780000</v>
      </c>
    </row>
    <row r="54" spans="1:6" s="99" customFormat="1" ht="12" customHeight="1" x14ac:dyDescent="0.2">
      <c r="A54" s="445" t="s">
        <v>277</v>
      </c>
      <c r="B54" s="426" t="s">
        <v>282</v>
      </c>
      <c r="C54" s="301"/>
    </row>
    <row r="55" spans="1:6" s="99" customFormat="1" ht="12" customHeight="1" thickBot="1" x14ac:dyDescent="0.25">
      <c r="A55" s="446" t="s">
        <v>278</v>
      </c>
      <c r="B55" s="427" t="s">
        <v>283</v>
      </c>
      <c r="C55" s="411"/>
    </row>
    <row r="56" spans="1:6" s="99" customFormat="1" ht="12" customHeight="1" thickBot="1" x14ac:dyDescent="0.25">
      <c r="A56" s="33" t="s">
        <v>169</v>
      </c>
      <c r="B56" s="21" t="s">
        <v>284</v>
      </c>
      <c r="C56" s="296">
        <f>SUM(C57:C59)</f>
        <v>0</v>
      </c>
    </row>
    <row r="57" spans="1:6" s="99" customFormat="1" ht="12" customHeight="1" x14ac:dyDescent="0.2">
      <c r="A57" s="444" t="s">
        <v>90</v>
      </c>
      <c r="B57" s="425" t="s">
        <v>285</v>
      </c>
      <c r="C57" s="299"/>
    </row>
    <row r="58" spans="1:6" s="99" customFormat="1" ht="12" customHeight="1" x14ac:dyDescent="0.2">
      <c r="A58" s="445" t="s">
        <v>91</v>
      </c>
      <c r="B58" s="426" t="s">
        <v>418</v>
      </c>
      <c r="C58" s="298"/>
    </row>
    <row r="59" spans="1:6" s="99" customFormat="1" ht="12" customHeight="1" x14ac:dyDescent="0.2">
      <c r="A59" s="445" t="s">
        <v>288</v>
      </c>
      <c r="B59" s="426" t="s">
        <v>286</v>
      </c>
      <c r="C59" s="298"/>
    </row>
    <row r="60" spans="1:6" s="99" customFormat="1" ht="12" customHeight="1" thickBot="1" x14ac:dyDescent="0.25">
      <c r="A60" s="446" t="s">
        <v>289</v>
      </c>
      <c r="B60" s="427" t="s">
        <v>287</v>
      </c>
      <c r="C60" s="300"/>
    </row>
    <row r="61" spans="1:6" s="99" customFormat="1" ht="12" customHeight="1" thickBot="1" x14ac:dyDescent="0.25">
      <c r="A61" s="33" t="s">
        <v>22</v>
      </c>
      <c r="B61" s="291" t="s">
        <v>290</v>
      </c>
      <c r="C61" s="296">
        <f>SUM(C62:C64)</f>
        <v>410000</v>
      </c>
    </row>
    <row r="62" spans="1:6" s="99" customFormat="1" ht="12" customHeight="1" x14ac:dyDescent="0.2">
      <c r="A62" s="444" t="s">
        <v>170</v>
      </c>
      <c r="B62" s="425" t="s">
        <v>292</v>
      </c>
      <c r="C62" s="301"/>
    </row>
    <row r="63" spans="1:6" s="99" customFormat="1" ht="12" customHeight="1" x14ac:dyDescent="0.2">
      <c r="A63" s="445" t="s">
        <v>171</v>
      </c>
      <c r="B63" s="426" t="s">
        <v>419</v>
      </c>
      <c r="C63" s="301">
        <v>410000</v>
      </c>
    </row>
    <row r="64" spans="1:6" s="99" customFormat="1" ht="12" customHeight="1" x14ac:dyDescent="0.2">
      <c r="A64" s="445" t="s">
        <v>216</v>
      </c>
      <c r="B64" s="426" t="s">
        <v>293</v>
      </c>
      <c r="C64" s="301"/>
    </row>
    <row r="65" spans="1:3" s="99" customFormat="1" ht="12" customHeight="1" thickBot="1" x14ac:dyDescent="0.25">
      <c r="A65" s="446" t="s">
        <v>291</v>
      </c>
      <c r="B65" s="427" t="s">
        <v>294</v>
      </c>
      <c r="C65" s="301"/>
    </row>
    <row r="66" spans="1:3" s="99" customFormat="1" ht="12" customHeight="1" thickBot="1" x14ac:dyDescent="0.25">
      <c r="A66" s="33" t="s">
        <v>23</v>
      </c>
      <c r="B66" s="21" t="s">
        <v>295</v>
      </c>
      <c r="C66" s="302">
        <f>+C8+C15+C22+C29+C38+C50+C56+C61</f>
        <v>840345005</v>
      </c>
    </row>
    <row r="67" spans="1:3" s="99" customFormat="1" ht="12" customHeight="1" thickBot="1" x14ac:dyDescent="0.2">
      <c r="A67" s="447" t="s">
        <v>386</v>
      </c>
      <c r="B67" s="291" t="s">
        <v>297</v>
      </c>
      <c r="C67" s="296">
        <f>SUM(C68:C70)</f>
        <v>0</v>
      </c>
    </row>
    <row r="68" spans="1:3" s="99" customFormat="1" ht="12" customHeight="1" x14ac:dyDescent="0.2">
      <c r="A68" s="444" t="s">
        <v>328</v>
      </c>
      <c r="B68" s="425" t="s">
        <v>298</v>
      </c>
      <c r="C68" s="301"/>
    </row>
    <row r="69" spans="1:3" s="99" customFormat="1" ht="12" customHeight="1" x14ac:dyDescent="0.2">
      <c r="A69" s="445" t="s">
        <v>337</v>
      </c>
      <c r="B69" s="426" t="s">
        <v>299</v>
      </c>
      <c r="C69" s="301"/>
    </row>
    <row r="70" spans="1:3" s="99" customFormat="1" ht="12" customHeight="1" thickBot="1" x14ac:dyDescent="0.25">
      <c r="A70" s="446" t="s">
        <v>338</v>
      </c>
      <c r="B70" s="428" t="s">
        <v>300</v>
      </c>
      <c r="C70" s="301"/>
    </row>
    <row r="71" spans="1:3" s="99" customFormat="1" ht="12" customHeight="1" thickBot="1" x14ac:dyDescent="0.2">
      <c r="A71" s="447" t="s">
        <v>301</v>
      </c>
      <c r="B71" s="291" t="s">
        <v>302</v>
      </c>
      <c r="C71" s="296">
        <f>SUM(C72:C75)</f>
        <v>0</v>
      </c>
    </row>
    <row r="72" spans="1:3" s="99" customFormat="1" ht="12" customHeight="1" x14ac:dyDescent="0.2">
      <c r="A72" s="444" t="s">
        <v>142</v>
      </c>
      <c r="B72" s="425" t="s">
        <v>303</v>
      </c>
      <c r="C72" s="301"/>
    </row>
    <row r="73" spans="1:3" s="99" customFormat="1" ht="12" customHeight="1" x14ac:dyDescent="0.2">
      <c r="A73" s="445" t="s">
        <v>143</v>
      </c>
      <c r="B73" s="426" t="s">
        <v>304</v>
      </c>
      <c r="C73" s="301"/>
    </row>
    <row r="74" spans="1:3" s="99" customFormat="1" ht="12" customHeight="1" x14ac:dyDescent="0.2">
      <c r="A74" s="445" t="s">
        <v>329</v>
      </c>
      <c r="B74" s="426" t="s">
        <v>305</v>
      </c>
      <c r="C74" s="301"/>
    </row>
    <row r="75" spans="1:3" s="99" customFormat="1" ht="12" customHeight="1" thickBot="1" x14ac:dyDescent="0.25">
      <c r="A75" s="446" t="s">
        <v>330</v>
      </c>
      <c r="B75" s="427" t="s">
        <v>306</v>
      </c>
      <c r="C75" s="301"/>
    </row>
    <row r="76" spans="1:3" s="99" customFormat="1" ht="12" customHeight="1" thickBot="1" x14ac:dyDescent="0.2">
      <c r="A76" s="447" t="s">
        <v>307</v>
      </c>
      <c r="B76" s="291" t="s">
        <v>308</v>
      </c>
      <c r="C76" s="296">
        <f>SUM(C77:C78)</f>
        <v>950101937</v>
      </c>
    </row>
    <row r="77" spans="1:3" s="99" customFormat="1" ht="12" customHeight="1" x14ac:dyDescent="0.2">
      <c r="A77" s="444" t="s">
        <v>331</v>
      </c>
      <c r="B77" s="425" t="s">
        <v>309</v>
      </c>
      <c r="C77" s="301">
        <f>543455392+52271255+73405685+15373959+27000+265568646</f>
        <v>950101937</v>
      </c>
    </row>
    <row r="78" spans="1:3" s="99" customFormat="1" ht="12" customHeight="1" thickBot="1" x14ac:dyDescent="0.25">
      <c r="A78" s="446" t="s">
        <v>332</v>
      </c>
      <c r="B78" s="427" t="s">
        <v>310</v>
      </c>
      <c r="C78" s="301"/>
    </row>
    <row r="79" spans="1:3" s="98" customFormat="1" ht="12" customHeight="1" thickBot="1" x14ac:dyDescent="0.2">
      <c r="A79" s="447" t="s">
        <v>311</v>
      </c>
      <c r="B79" s="291" t="s">
        <v>312</v>
      </c>
      <c r="C79" s="296">
        <f>SUM(C80:C82)</f>
        <v>0</v>
      </c>
    </row>
    <row r="80" spans="1:3" s="99" customFormat="1" ht="12" customHeight="1" x14ac:dyDescent="0.2">
      <c r="A80" s="444" t="s">
        <v>333</v>
      </c>
      <c r="B80" s="425" t="s">
        <v>313</v>
      </c>
      <c r="C80" s="301"/>
    </row>
    <row r="81" spans="1:3" s="99" customFormat="1" ht="12" customHeight="1" x14ac:dyDescent="0.2">
      <c r="A81" s="445" t="s">
        <v>334</v>
      </c>
      <c r="B81" s="426" t="s">
        <v>314</v>
      </c>
      <c r="C81" s="301"/>
    </row>
    <row r="82" spans="1:3" s="99" customFormat="1" ht="12" customHeight="1" thickBot="1" x14ac:dyDescent="0.25">
      <c r="A82" s="446" t="s">
        <v>335</v>
      </c>
      <c r="B82" s="427" t="s">
        <v>315</v>
      </c>
      <c r="C82" s="301"/>
    </row>
    <row r="83" spans="1:3" s="99" customFormat="1" ht="12" customHeight="1" thickBot="1" x14ac:dyDescent="0.2">
      <c r="A83" s="447" t="s">
        <v>316</v>
      </c>
      <c r="B83" s="291" t="s">
        <v>336</v>
      </c>
      <c r="C83" s="296">
        <f>SUM(C84:C87)</f>
        <v>0</v>
      </c>
    </row>
    <row r="84" spans="1:3" s="99" customFormat="1" ht="12" customHeight="1" x14ac:dyDescent="0.2">
      <c r="A84" s="448" t="s">
        <v>317</v>
      </c>
      <c r="B84" s="425" t="s">
        <v>318</v>
      </c>
      <c r="C84" s="301"/>
    </row>
    <row r="85" spans="1:3" s="99" customFormat="1" ht="12" customHeight="1" x14ac:dyDescent="0.2">
      <c r="A85" s="449" t="s">
        <v>319</v>
      </c>
      <c r="B85" s="426" t="s">
        <v>320</v>
      </c>
      <c r="C85" s="301"/>
    </row>
    <row r="86" spans="1:3" s="99" customFormat="1" ht="12" customHeight="1" x14ac:dyDescent="0.2">
      <c r="A86" s="449" t="s">
        <v>321</v>
      </c>
      <c r="B86" s="426" t="s">
        <v>322</v>
      </c>
      <c r="C86" s="301"/>
    </row>
    <row r="87" spans="1:3" s="98" customFormat="1" ht="12" customHeight="1" thickBot="1" x14ac:dyDescent="0.25">
      <c r="A87" s="450" t="s">
        <v>323</v>
      </c>
      <c r="B87" s="427" t="s">
        <v>324</v>
      </c>
      <c r="C87" s="301"/>
    </row>
    <row r="88" spans="1:3" s="98" customFormat="1" ht="12" customHeight="1" thickBot="1" x14ac:dyDescent="0.2">
      <c r="A88" s="447" t="s">
        <v>325</v>
      </c>
      <c r="B88" s="291" t="s">
        <v>467</v>
      </c>
      <c r="C88" s="471"/>
    </row>
    <row r="89" spans="1:3" s="98" customFormat="1" ht="12" customHeight="1" thickBot="1" x14ac:dyDescent="0.2">
      <c r="A89" s="447" t="s">
        <v>494</v>
      </c>
      <c r="B89" s="291" t="s">
        <v>326</v>
      </c>
      <c r="C89" s="471"/>
    </row>
    <row r="90" spans="1:3" s="98" customFormat="1" ht="12" customHeight="1" thickBot="1" x14ac:dyDescent="0.2">
      <c r="A90" s="447" t="s">
        <v>495</v>
      </c>
      <c r="B90" s="432" t="s">
        <v>470</v>
      </c>
      <c r="C90" s="302">
        <f>+C67+C71+C76+C79+C83+C89+C88</f>
        <v>950101937</v>
      </c>
    </row>
    <row r="91" spans="1:3" s="98" customFormat="1" ht="12" customHeight="1" thickBot="1" x14ac:dyDescent="0.2">
      <c r="A91" s="451" t="s">
        <v>496</v>
      </c>
      <c r="B91" s="433" t="s">
        <v>497</v>
      </c>
      <c r="C91" s="302">
        <f>+C66+C90</f>
        <v>1790446942</v>
      </c>
    </row>
    <row r="92" spans="1:3" s="99" customFormat="1" ht="15" customHeight="1" thickBot="1" x14ac:dyDescent="0.25">
      <c r="A92" s="249"/>
      <c r="B92" s="250"/>
      <c r="C92" s="366"/>
    </row>
    <row r="93" spans="1:3" s="72" customFormat="1" ht="16.5" customHeight="1" thickBot="1" x14ac:dyDescent="0.25">
      <c r="A93" s="253"/>
      <c r="B93" s="254" t="s">
        <v>54</v>
      </c>
      <c r="C93" s="368"/>
    </row>
    <row r="94" spans="1:3" s="100" customFormat="1" ht="12" customHeight="1" thickBot="1" x14ac:dyDescent="0.25">
      <c r="A94" s="417" t="s">
        <v>15</v>
      </c>
      <c r="B94" s="28" t="s">
        <v>501</v>
      </c>
      <c r="C94" s="295">
        <f>+C95+C96+C97+C99+C100+C113</f>
        <v>672049340</v>
      </c>
    </row>
    <row r="95" spans="1:3" ht="12" customHeight="1" x14ac:dyDescent="0.2">
      <c r="A95" s="452" t="s">
        <v>92</v>
      </c>
      <c r="B95" s="10" t="s">
        <v>46</v>
      </c>
      <c r="C95" s="297">
        <v>148919156</v>
      </c>
    </row>
    <row r="96" spans="1:3" ht="12" customHeight="1" x14ac:dyDescent="0.2">
      <c r="A96" s="445" t="s">
        <v>93</v>
      </c>
      <c r="B96" s="8" t="s">
        <v>172</v>
      </c>
      <c r="C96" s="298">
        <v>18345426</v>
      </c>
    </row>
    <row r="97" spans="1:5" ht="12" customHeight="1" x14ac:dyDescent="0.2">
      <c r="A97" s="445" t="s">
        <v>94</v>
      </c>
      <c r="B97" s="8" t="s">
        <v>134</v>
      </c>
      <c r="C97" s="300">
        <v>158980326</v>
      </c>
    </row>
    <row r="98" spans="1:5" ht="12" customHeight="1" x14ac:dyDescent="0.2">
      <c r="A98" s="445"/>
      <c r="B98" s="570" t="s">
        <v>611</v>
      </c>
      <c r="C98" s="300">
        <v>2200000</v>
      </c>
    </row>
    <row r="99" spans="1:5" ht="12" customHeight="1" x14ac:dyDescent="0.2">
      <c r="A99" s="445" t="s">
        <v>95</v>
      </c>
      <c r="B99" s="11" t="s">
        <v>173</v>
      </c>
      <c r="C99" s="300">
        <v>25982000</v>
      </c>
    </row>
    <row r="100" spans="1:5" ht="12" customHeight="1" x14ac:dyDescent="0.2">
      <c r="A100" s="445" t="s">
        <v>106</v>
      </c>
      <c r="B100" s="19" t="s">
        <v>174</v>
      </c>
      <c r="C100" s="300">
        <f>+C107+C112</f>
        <v>25600000</v>
      </c>
    </row>
    <row r="101" spans="1:5" ht="12" customHeight="1" x14ac:dyDescent="0.2">
      <c r="A101" s="445" t="s">
        <v>96</v>
      </c>
      <c r="B101" s="8" t="s">
        <v>498</v>
      </c>
      <c r="C101" s="300"/>
    </row>
    <row r="102" spans="1:5" ht="12" customHeight="1" x14ac:dyDescent="0.2">
      <c r="A102" s="445" t="s">
        <v>97</v>
      </c>
      <c r="B102" s="149" t="s">
        <v>433</v>
      </c>
      <c r="C102" s="300"/>
    </row>
    <row r="103" spans="1:5" ht="12" customHeight="1" x14ac:dyDescent="0.2">
      <c r="A103" s="445" t="s">
        <v>107</v>
      </c>
      <c r="B103" s="149" t="s">
        <v>432</v>
      </c>
      <c r="C103" s="300"/>
    </row>
    <row r="104" spans="1:5" ht="12" customHeight="1" x14ac:dyDescent="0.2">
      <c r="A104" s="445" t="s">
        <v>108</v>
      </c>
      <c r="B104" s="149" t="s">
        <v>342</v>
      </c>
      <c r="C104" s="300"/>
      <c r="E104" s="546"/>
    </row>
    <row r="105" spans="1:5" ht="12" customHeight="1" x14ac:dyDescent="0.2">
      <c r="A105" s="445" t="s">
        <v>109</v>
      </c>
      <c r="B105" s="150" t="s">
        <v>343</v>
      </c>
      <c r="C105" s="300"/>
      <c r="D105" s="3" t="s">
        <v>577</v>
      </c>
      <c r="E105" s="546"/>
    </row>
    <row r="106" spans="1:5" ht="12" customHeight="1" x14ac:dyDescent="0.2">
      <c r="A106" s="445" t="s">
        <v>110</v>
      </c>
      <c r="B106" s="150" t="s">
        <v>344</v>
      </c>
      <c r="C106" s="300"/>
      <c r="D106" s="3" t="s">
        <v>576</v>
      </c>
      <c r="E106" s="546">
        <v>100000</v>
      </c>
    </row>
    <row r="107" spans="1:5" ht="12" customHeight="1" x14ac:dyDescent="0.2">
      <c r="A107" s="445" t="s">
        <v>112</v>
      </c>
      <c r="B107" s="149" t="s">
        <v>345</v>
      </c>
      <c r="C107" s="300">
        <v>1600000</v>
      </c>
      <c r="D107" s="3" t="s">
        <v>572</v>
      </c>
      <c r="E107" s="546">
        <v>1500000</v>
      </c>
    </row>
    <row r="108" spans="1:5" ht="12" customHeight="1" x14ac:dyDescent="0.2">
      <c r="A108" s="445" t="s">
        <v>175</v>
      </c>
      <c r="B108" s="149" t="s">
        <v>346</v>
      </c>
      <c r="C108" s="300"/>
      <c r="E108" s="546"/>
    </row>
    <row r="109" spans="1:5" ht="12" customHeight="1" x14ac:dyDescent="0.2">
      <c r="A109" s="445" t="s">
        <v>340</v>
      </c>
      <c r="B109" s="150" t="s">
        <v>347</v>
      </c>
      <c r="C109" s="300"/>
      <c r="E109" s="546"/>
    </row>
    <row r="110" spans="1:5" ht="12" customHeight="1" x14ac:dyDescent="0.2">
      <c r="A110" s="453" t="s">
        <v>341</v>
      </c>
      <c r="B110" s="151" t="s">
        <v>348</v>
      </c>
      <c r="C110" s="300"/>
      <c r="E110" s="546"/>
    </row>
    <row r="111" spans="1:5" ht="12" customHeight="1" x14ac:dyDescent="0.2">
      <c r="A111" s="445" t="s">
        <v>430</v>
      </c>
      <c r="B111" s="151" t="s">
        <v>349</v>
      </c>
      <c r="C111" s="300"/>
      <c r="E111" s="546"/>
    </row>
    <row r="112" spans="1:5" ht="12" customHeight="1" x14ac:dyDescent="0.2">
      <c r="A112" s="445" t="s">
        <v>431</v>
      </c>
      <c r="B112" s="150" t="s">
        <v>350</v>
      </c>
      <c r="C112" s="298">
        <v>24000000</v>
      </c>
      <c r="D112" s="3" t="s">
        <v>573</v>
      </c>
      <c r="E112" s="546">
        <v>3000000</v>
      </c>
    </row>
    <row r="113" spans="1:5" ht="12" customHeight="1" x14ac:dyDescent="0.2">
      <c r="A113" s="445" t="s">
        <v>435</v>
      </c>
      <c r="B113" s="11" t="s">
        <v>47</v>
      </c>
      <c r="C113" s="298">
        <f>+C114+C115</f>
        <v>294222432</v>
      </c>
      <c r="D113" s="3" t="s">
        <v>574</v>
      </c>
      <c r="E113" s="546">
        <v>300000</v>
      </c>
    </row>
    <row r="114" spans="1:5" ht="12" customHeight="1" x14ac:dyDescent="0.2">
      <c r="A114" s="446" t="s">
        <v>436</v>
      </c>
      <c r="B114" s="8" t="s">
        <v>499</v>
      </c>
      <c r="C114" s="300"/>
      <c r="D114" s="3" t="s">
        <v>575</v>
      </c>
      <c r="E114" s="546">
        <v>200000</v>
      </c>
    </row>
    <row r="115" spans="1:5" ht="12" customHeight="1" thickBot="1" x14ac:dyDescent="0.25">
      <c r="A115" s="454" t="s">
        <v>437</v>
      </c>
      <c r="B115" s="152" t="s">
        <v>500</v>
      </c>
      <c r="C115" s="304">
        <f>26619766+3224105+265568646+1460482-2650567</f>
        <v>294222432</v>
      </c>
      <c r="D115" s="3" t="s">
        <v>642</v>
      </c>
      <c r="E115" s="546">
        <v>250000</v>
      </c>
    </row>
    <row r="116" spans="1:5" ht="12" customHeight="1" thickBot="1" x14ac:dyDescent="0.25">
      <c r="A116" s="33" t="s">
        <v>16</v>
      </c>
      <c r="B116" s="27" t="s">
        <v>351</v>
      </c>
      <c r="C116" s="296">
        <f>+C117+C119+C121</f>
        <v>615419203</v>
      </c>
      <c r="D116" s="3" t="s">
        <v>608</v>
      </c>
      <c r="E116" s="546">
        <f>14500000+5500000</f>
        <v>20000000</v>
      </c>
    </row>
    <row r="117" spans="1:5" ht="12" customHeight="1" x14ac:dyDescent="0.2">
      <c r="A117" s="444" t="s">
        <v>98</v>
      </c>
      <c r="B117" s="8" t="s">
        <v>214</v>
      </c>
      <c r="C117" s="299">
        <f>590318711+799925</f>
        <v>591118636</v>
      </c>
      <c r="D117" s="3" t="s">
        <v>643</v>
      </c>
      <c r="E117" s="546">
        <v>50000</v>
      </c>
    </row>
    <row r="118" spans="1:5" ht="12" customHeight="1" x14ac:dyDescent="0.2">
      <c r="A118" s="444" t="s">
        <v>99</v>
      </c>
      <c r="B118" s="12" t="s">
        <v>355</v>
      </c>
      <c r="C118" s="299"/>
      <c r="D118" s="3" t="s">
        <v>644</v>
      </c>
      <c r="E118" s="546">
        <v>100000</v>
      </c>
    </row>
    <row r="119" spans="1:5" ht="12" customHeight="1" x14ac:dyDescent="0.2">
      <c r="A119" s="444" t="s">
        <v>100</v>
      </c>
      <c r="B119" s="12" t="s">
        <v>176</v>
      </c>
      <c r="C119" s="298">
        <f>5350000+17650567</f>
        <v>23000567</v>
      </c>
      <c r="D119" s="3" t="s">
        <v>645</v>
      </c>
      <c r="E119" s="546">
        <v>100000</v>
      </c>
    </row>
    <row r="120" spans="1:5" ht="12" customHeight="1" x14ac:dyDescent="0.2">
      <c r="A120" s="444" t="s">
        <v>101</v>
      </c>
      <c r="B120" s="12" t="s">
        <v>356</v>
      </c>
      <c r="C120" s="279"/>
      <c r="E120" s="585">
        <f>SUM(E112:E119)</f>
        <v>24000000</v>
      </c>
    </row>
    <row r="121" spans="1:5" ht="12" customHeight="1" x14ac:dyDescent="0.2">
      <c r="A121" s="444" t="s">
        <v>102</v>
      </c>
      <c r="B121" s="293" t="s">
        <v>217</v>
      </c>
      <c r="C121" s="279">
        <v>1300000</v>
      </c>
    </row>
    <row r="122" spans="1:5" ht="12" customHeight="1" x14ac:dyDescent="0.2">
      <c r="A122" s="444" t="s">
        <v>111</v>
      </c>
      <c r="B122" s="292" t="s">
        <v>420</v>
      </c>
      <c r="C122" s="279"/>
    </row>
    <row r="123" spans="1:5" ht="12" customHeight="1" x14ac:dyDescent="0.2">
      <c r="A123" s="444" t="s">
        <v>113</v>
      </c>
      <c r="B123" s="421" t="s">
        <v>361</v>
      </c>
      <c r="C123" s="279"/>
    </row>
    <row r="124" spans="1:5" ht="12" customHeight="1" x14ac:dyDescent="0.2">
      <c r="A124" s="444" t="s">
        <v>177</v>
      </c>
      <c r="B124" s="150" t="s">
        <v>344</v>
      </c>
      <c r="C124" s="279"/>
    </row>
    <row r="125" spans="1:5" ht="12" customHeight="1" x14ac:dyDescent="0.2">
      <c r="A125" s="444" t="s">
        <v>178</v>
      </c>
      <c r="B125" s="150" t="s">
        <v>360</v>
      </c>
      <c r="C125" s="279"/>
    </row>
    <row r="126" spans="1:5" ht="12" customHeight="1" x14ac:dyDescent="0.2">
      <c r="A126" s="444" t="s">
        <v>179</v>
      </c>
      <c r="B126" s="150" t="s">
        <v>359</v>
      </c>
      <c r="C126" s="279"/>
    </row>
    <row r="127" spans="1:5" ht="12" customHeight="1" x14ac:dyDescent="0.2">
      <c r="A127" s="444" t="s">
        <v>352</v>
      </c>
      <c r="B127" s="150" t="s">
        <v>347</v>
      </c>
      <c r="C127" s="279"/>
    </row>
    <row r="128" spans="1:5" ht="12" customHeight="1" x14ac:dyDescent="0.2">
      <c r="A128" s="444" t="s">
        <v>353</v>
      </c>
      <c r="B128" s="150" t="s">
        <v>358</v>
      </c>
      <c r="C128" s="279"/>
    </row>
    <row r="129" spans="1:11" ht="12" customHeight="1" thickBot="1" x14ac:dyDescent="0.25">
      <c r="A129" s="453" t="s">
        <v>354</v>
      </c>
      <c r="B129" s="150" t="s">
        <v>357</v>
      </c>
      <c r="C129" s="281">
        <v>1300000</v>
      </c>
    </row>
    <row r="130" spans="1:11" ht="12" customHeight="1" thickBot="1" x14ac:dyDescent="0.25">
      <c r="A130" s="33" t="s">
        <v>17</v>
      </c>
      <c r="B130" s="132" t="s">
        <v>440</v>
      </c>
      <c r="C130" s="296">
        <f>+C94+C116</f>
        <v>1287468543</v>
      </c>
    </row>
    <row r="131" spans="1:11" ht="12" customHeight="1" thickBot="1" x14ac:dyDescent="0.25">
      <c r="A131" s="33" t="s">
        <v>18</v>
      </c>
      <c r="B131" s="132" t="s">
        <v>441</v>
      </c>
      <c r="C131" s="296">
        <f>+C132+C133+C134</f>
        <v>5864000</v>
      </c>
    </row>
    <row r="132" spans="1:11" s="100" customFormat="1" ht="12" customHeight="1" x14ac:dyDescent="0.2">
      <c r="A132" s="444" t="s">
        <v>256</v>
      </c>
      <c r="B132" s="9" t="s">
        <v>504</v>
      </c>
      <c r="C132" s="279">
        <v>5864000</v>
      </c>
    </row>
    <row r="133" spans="1:11" ht="12" customHeight="1" x14ac:dyDescent="0.2">
      <c r="A133" s="444" t="s">
        <v>257</v>
      </c>
      <c r="B133" s="9" t="s">
        <v>449</v>
      </c>
      <c r="C133" s="279"/>
    </row>
    <row r="134" spans="1:11" ht="12" customHeight="1" thickBot="1" x14ac:dyDescent="0.25">
      <c r="A134" s="453" t="s">
        <v>258</v>
      </c>
      <c r="B134" s="7" t="s">
        <v>503</v>
      </c>
      <c r="C134" s="279"/>
    </row>
    <row r="135" spans="1:11" ht="12" customHeight="1" thickBot="1" x14ac:dyDescent="0.25">
      <c r="A135" s="33" t="s">
        <v>19</v>
      </c>
      <c r="B135" s="132" t="s">
        <v>442</v>
      </c>
      <c r="C135" s="296">
        <f>+C136+C137+C138+C139+C140+C141</f>
        <v>0</v>
      </c>
    </row>
    <row r="136" spans="1:11" ht="12" customHeight="1" x14ac:dyDescent="0.2">
      <c r="A136" s="444" t="s">
        <v>85</v>
      </c>
      <c r="B136" s="9" t="s">
        <v>451</v>
      </c>
      <c r="C136" s="279"/>
    </row>
    <row r="137" spans="1:11" ht="12" customHeight="1" x14ac:dyDescent="0.2">
      <c r="A137" s="444" t="s">
        <v>86</v>
      </c>
      <c r="B137" s="9" t="s">
        <v>443</v>
      </c>
      <c r="C137" s="279"/>
    </row>
    <row r="138" spans="1:11" ht="12" customHeight="1" x14ac:dyDescent="0.2">
      <c r="A138" s="444" t="s">
        <v>87</v>
      </c>
      <c r="B138" s="9" t="s">
        <v>444</v>
      </c>
      <c r="C138" s="279"/>
    </row>
    <row r="139" spans="1:11" ht="12" customHeight="1" x14ac:dyDescent="0.2">
      <c r="A139" s="444" t="s">
        <v>164</v>
      </c>
      <c r="B139" s="9" t="s">
        <v>502</v>
      </c>
      <c r="C139" s="279"/>
    </row>
    <row r="140" spans="1:11" ht="12" customHeight="1" x14ac:dyDescent="0.2">
      <c r="A140" s="444" t="s">
        <v>165</v>
      </c>
      <c r="B140" s="9" t="s">
        <v>446</v>
      </c>
      <c r="C140" s="279"/>
    </row>
    <row r="141" spans="1:11" s="100" customFormat="1" ht="12" customHeight="1" thickBot="1" x14ac:dyDescent="0.25">
      <c r="A141" s="453" t="s">
        <v>166</v>
      </c>
      <c r="B141" s="7" t="s">
        <v>447</v>
      </c>
      <c r="C141" s="279"/>
    </row>
    <row r="142" spans="1:11" ht="12" customHeight="1" thickBot="1" x14ac:dyDescent="0.25">
      <c r="A142" s="33" t="s">
        <v>20</v>
      </c>
      <c r="B142" s="132" t="s">
        <v>529</v>
      </c>
      <c r="C142" s="302">
        <f>+C143+C144+C146+C147+C145</f>
        <v>497114399</v>
      </c>
      <c r="K142" s="261"/>
    </row>
    <row r="143" spans="1:11" x14ac:dyDescent="0.2">
      <c r="A143" s="444" t="s">
        <v>88</v>
      </c>
      <c r="B143" s="9" t="s">
        <v>362</v>
      </c>
      <c r="C143" s="279"/>
    </row>
    <row r="144" spans="1:11" ht="12" customHeight="1" x14ac:dyDescent="0.2">
      <c r="A144" s="444" t="s">
        <v>89</v>
      </c>
      <c r="B144" s="9" t="s">
        <v>363</v>
      </c>
      <c r="C144" s="279">
        <v>17448337</v>
      </c>
    </row>
    <row r="145" spans="1:6" s="100" customFormat="1" ht="12" customHeight="1" x14ac:dyDescent="0.2">
      <c r="A145" s="444" t="s">
        <v>276</v>
      </c>
      <c r="B145" s="9" t="s">
        <v>528</v>
      </c>
      <c r="C145" s="279">
        <f>'9.2. sz. mell HIV'!C41+'9.3. sz. mell GAM'!C40+'9.4. sz. mell ILMKS'!C40+'9.5. sz. mell OVI'!C40+'9.6. sz. mell CSSK'!C40</f>
        <v>478547052</v>
      </c>
    </row>
    <row r="146" spans="1:6" s="100" customFormat="1" ht="12" customHeight="1" x14ac:dyDescent="0.2">
      <c r="A146" s="444" t="s">
        <v>277</v>
      </c>
      <c r="B146" s="9" t="s">
        <v>456</v>
      </c>
      <c r="C146" s="279"/>
    </row>
    <row r="147" spans="1:6" s="100" customFormat="1" ht="12" customHeight="1" thickBot="1" x14ac:dyDescent="0.25">
      <c r="A147" s="453" t="s">
        <v>278</v>
      </c>
      <c r="B147" s="7" t="s">
        <v>382</v>
      </c>
      <c r="C147" s="279">
        <v>1119010</v>
      </c>
    </row>
    <row r="148" spans="1:6" s="100" customFormat="1" ht="12" customHeight="1" thickBot="1" x14ac:dyDescent="0.25">
      <c r="A148" s="33" t="s">
        <v>21</v>
      </c>
      <c r="B148" s="132" t="s">
        <v>457</v>
      </c>
      <c r="C148" s="305">
        <f>+C149+C150+C151+C152+C153</f>
        <v>0</v>
      </c>
    </row>
    <row r="149" spans="1:6" s="100" customFormat="1" ht="12" customHeight="1" x14ac:dyDescent="0.2">
      <c r="A149" s="444" t="s">
        <v>90</v>
      </c>
      <c r="B149" s="9" t="s">
        <v>452</v>
      </c>
      <c r="C149" s="279"/>
    </row>
    <row r="150" spans="1:6" s="100" customFormat="1" ht="12" customHeight="1" x14ac:dyDescent="0.2">
      <c r="A150" s="444" t="s">
        <v>91</v>
      </c>
      <c r="B150" s="9" t="s">
        <v>459</v>
      </c>
      <c r="C150" s="279"/>
    </row>
    <row r="151" spans="1:6" s="100" customFormat="1" ht="12" customHeight="1" x14ac:dyDescent="0.2">
      <c r="A151" s="444" t="s">
        <v>288</v>
      </c>
      <c r="B151" s="9" t="s">
        <v>454</v>
      </c>
      <c r="C151" s="279"/>
    </row>
    <row r="152" spans="1:6" ht="12.75" customHeight="1" x14ac:dyDescent="0.2">
      <c r="A152" s="444" t="s">
        <v>289</v>
      </c>
      <c r="B152" s="9" t="s">
        <v>505</v>
      </c>
      <c r="C152" s="279"/>
    </row>
    <row r="153" spans="1:6" ht="12.75" customHeight="1" thickBot="1" x14ac:dyDescent="0.25">
      <c r="A153" s="453" t="s">
        <v>458</v>
      </c>
      <c r="B153" s="7" t="s">
        <v>461</v>
      </c>
      <c r="C153" s="281"/>
    </row>
    <row r="154" spans="1:6" ht="12.75" customHeight="1" thickBot="1" x14ac:dyDescent="0.25">
      <c r="A154" s="497" t="s">
        <v>22</v>
      </c>
      <c r="B154" s="132" t="s">
        <v>462</v>
      </c>
      <c r="C154" s="305"/>
    </row>
    <row r="155" spans="1:6" ht="12" customHeight="1" thickBot="1" x14ac:dyDescent="0.25">
      <c r="A155" s="497" t="s">
        <v>23</v>
      </c>
      <c r="B155" s="132" t="s">
        <v>463</v>
      </c>
      <c r="C155" s="305"/>
    </row>
    <row r="156" spans="1:6" ht="15" customHeight="1" thickBot="1" x14ac:dyDescent="0.25">
      <c r="A156" s="33" t="s">
        <v>24</v>
      </c>
      <c r="B156" s="132" t="s">
        <v>465</v>
      </c>
      <c r="C156" s="435">
        <f>+C131+C135+C142+C148+C154+C155</f>
        <v>502978399</v>
      </c>
    </row>
    <row r="157" spans="1:6" ht="13.5" thickBot="1" x14ac:dyDescent="0.25">
      <c r="A157" s="455" t="s">
        <v>25</v>
      </c>
      <c r="B157" s="387" t="s">
        <v>464</v>
      </c>
      <c r="C157" s="435">
        <f>+C130+C156</f>
        <v>1790446942</v>
      </c>
      <c r="F157" s="44">
        <f>C157-C91</f>
        <v>0</v>
      </c>
    </row>
    <row r="158" spans="1:6" ht="15" customHeight="1" thickBot="1" x14ac:dyDescent="0.25">
      <c r="A158" s="395"/>
      <c r="B158" s="396"/>
      <c r="C158" s="397"/>
    </row>
    <row r="159" spans="1:6" ht="14.25" customHeight="1" thickBot="1" x14ac:dyDescent="0.25">
      <c r="A159" s="258" t="s">
        <v>506</v>
      </c>
      <c r="B159" s="259"/>
      <c r="C159" s="129"/>
    </row>
    <row r="160" spans="1:6" ht="13.5" thickBot="1" x14ac:dyDescent="0.25">
      <c r="A160" s="258" t="s">
        <v>195</v>
      </c>
      <c r="B160" s="259"/>
      <c r="C1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9"/>
  <sheetViews>
    <sheetView view="pageBreakPreview" topLeftCell="A121" zoomScale="85" zoomScaleNormal="130" zoomScaleSheetLayoutView="85" workbookViewId="0">
      <selection activeCell="C34" sqref="C34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16384" width="9.33203125" style="3"/>
  </cols>
  <sheetData>
    <row r="1" spans="1:3" s="2" customFormat="1" ht="16.5" customHeight="1" thickBot="1" x14ac:dyDescent="0.25">
      <c r="A1" s="236"/>
      <c r="B1" s="238"/>
      <c r="C1" s="260" t="str">
        <f>+CONCATENATE("9.1.2. melléklet a .../",LEFT(ÖSSZEFÜGGÉSEK!A5,4),". (…...) önkormányzati rendelethez")</f>
        <v>9.1.2. melléklet a .../2019. (…...) önkormányzati rendelethez</v>
      </c>
    </row>
    <row r="2" spans="1:3" s="96" customFormat="1" ht="21" customHeight="1" x14ac:dyDescent="0.2">
      <c r="A2" s="415" t="s">
        <v>59</v>
      </c>
      <c r="B2" s="357" t="s">
        <v>554</v>
      </c>
      <c r="C2" s="359" t="s">
        <v>51</v>
      </c>
    </row>
    <row r="3" spans="1:3" s="96" customFormat="1" ht="16.5" thickBot="1" x14ac:dyDescent="0.25">
      <c r="A3" s="239" t="s">
        <v>192</v>
      </c>
      <c r="B3" s="358" t="s">
        <v>422</v>
      </c>
      <c r="C3" s="496" t="s">
        <v>56</v>
      </c>
    </row>
    <row r="4" spans="1:3" s="97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72" customFormat="1" ht="12.95" customHeight="1" thickBot="1" x14ac:dyDescent="0.25">
      <c r="A6" s="205"/>
      <c r="B6" s="206" t="s">
        <v>484</v>
      </c>
      <c r="C6" s="207" t="s">
        <v>485</v>
      </c>
    </row>
    <row r="7" spans="1:3" s="72" customFormat="1" ht="15.95" customHeight="1" thickBot="1" x14ac:dyDescent="0.25">
      <c r="A7" s="243"/>
      <c r="B7" s="244" t="s">
        <v>53</v>
      </c>
      <c r="C7" s="361"/>
    </row>
    <row r="8" spans="1:3" s="72" customFormat="1" ht="12" customHeight="1" thickBot="1" x14ac:dyDescent="0.25">
      <c r="A8" s="33" t="s">
        <v>15</v>
      </c>
      <c r="B8" s="21" t="s">
        <v>240</v>
      </c>
      <c r="C8" s="296">
        <f>+C9+C10+C11+C12+C13+C14</f>
        <v>0</v>
      </c>
    </row>
    <row r="9" spans="1:3" s="98" customFormat="1" ht="12" customHeight="1" x14ac:dyDescent="0.2">
      <c r="A9" s="444" t="s">
        <v>92</v>
      </c>
      <c r="B9" s="425" t="s">
        <v>241</v>
      </c>
      <c r="C9" s="299"/>
    </row>
    <row r="10" spans="1:3" s="99" customFormat="1" ht="12" customHeight="1" x14ac:dyDescent="0.2">
      <c r="A10" s="445" t="s">
        <v>93</v>
      </c>
      <c r="B10" s="426" t="s">
        <v>242</v>
      </c>
      <c r="C10" s="298"/>
    </row>
    <row r="11" spans="1:3" s="99" customFormat="1" ht="12" customHeight="1" x14ac:dyDescent="0.2">
      <c r="A11" s="445" t="s">
        <v>94</v>
      </c>
      <c r="B11" s="426" t="s">
        <v>538</v>
      </c>
      <c r="C11" s="298"/>
    </row>
    <row r="12" spans="1:3" s="99" customFormat="1" ht="12" customHeight="1" x14ac:dyDescent="0.2">
      <c r="A12" s="445" t="s">
        <v>95</v>
      </c>
      <c r="B12" s="426" t="s">
        <v>244</v>
      </c>
      <c r="C12" s="298"/>
    </row>
    <row r="13" spans="1:3" s="99" customFormat="1" ht="12" customHeight="1" x14ac:dyDescent="0.2">
      <c r="A13" s="445" t="s">
        <v>141</v>
      </c>
      <c r="B13" s="426" t="s">
        <v>493</v>
      </c>
      <c r="C13" s="298"/>
    </row>
    <row r="14" spans="1:3" s="98" customFormat="1" ht="12" customHeight="1" thickBot="1" x14ac:dyDescent="0.25">
      <c r="A14" s="446" t="s">
        <v>96</v>
      </c>
      <c r="B14" s="427" t="s">
        <v>425</v>
      </c>
      <c r="C14" s="298"/>
    </row>
    <row r="15" spans="1:3" s="98" customFormat="1" ht="12" customHeight="1" thickBot="1" x14ac:dyDescent="0.25">
      <c r="A15" s="33" t="s">
        <v>16</v>
      </c>
      <c r="B15" s="291" t="s">
        <v>245</v>
      </c>
      <c r="C15" s="296">
        <f>+C16+C17+C18+C19+C20</f>
        <v>6245112</v>
      </c>
    </row>
    <row r="16" spans="1:3" s="98" customFormat="1" ht="12" customHeight="1" x14ac:dyDescent="0.2">
      <c r="A16" s="444" t="s">
        <v>98</v>
      </c>
      <c r="B16" s="425" t="s">
        <v>246</v>
      </c>
      <c r="C16" s="299"/>
    </row>
    <row r="17" spans="1:3" s="98" customFormat="1" ht="12" customHeight="1" x14ac:dyDescent="0.2">
      <c r="A17" s="445" t="s">
        <v>99</v>
      </c>
      <c r="B17" s="426" t="s">
        <v>247</v>
      </c>
      <c r="C17" s="298"/>
    </row>
    <row r="18" spans="1:3" s="98" customFormat="1" ht="12" customHeight="1" x14ac:dyDescent="0.2">
      <c r="A18" s="445" t="s">
        <v>100</v>
      </c>
      <c r="B18" s="426" t="s">
        <v>414</v>
      </c>
      <c r="C18" s="298"/>
    </row>
    <row r="19" spans="1:3" s="98" customFormat="1" ht="12" customHeight="1" x14ac:dyDescent="0.2">
      <c r="A19" s="445" t="s">
        <v>101</v>
      </c>
      <c r="B19" s="426" t="s">
        <v>415</v>
      </c>
      <c r="C19" s="298"/>
    </row>
    <row r="20" spans="1:3" s="98" customFormat="1" ht="12" customHeight="1" x14ac:dyDescent="0.2">
      <c r="A20" s="445" t="s">
        <v>102</v>
      </c>
      <c r="B20" s="426" t="s">
        <v>248</v>
      </c>
      <c r="C20" s="298">
        <v>6245112</v>
      </c>
    </row>
    <row r="21" spans="1:3" s="99" customFormat="1" ht="12" customHeight="1" thickBot="1" x14ac:dyDescent="0.25">
      <c r="A21" s="446" t="s">
        <v>111</v>
      </c>
      <c r="B21" s="427" t="s">
        <v>249</v>
      </c>
      <c r="C21" s="300"/>
    </row>
    <row r="22" spans="1:3" s="99" customFormat="1" ht="12" customHeight="1" thickBot="1" x14ac:dyDescent="0.25">
      <c r="A22" s="33" t="s">
        <v>17</v>
      </c>
      <c r="B22" s="21" t="s">
        <v>250</v>
      </c>
      <c r="C22" s="296">
        <f>+C23+C24+C25+C26+C27</f>
        <v>0</v>
      </c>
    </row>
    <row r="23" spans="1:3" s="99" customFormat="1" ht="12" customHeight="1" x14ac:dyDescent="0.2">
      <c r="A23" s="444" t="s">
        <v>81</v>
      </c>
      <c r="B23" s="425" t="s">
        <v>251</v>
      </c>
      <c r="C23" s="299"/>
    </row>
    <row r="24" spans="1:3" s="98" customFormat="1" ht="12" customHeight="1" x14ac:dyDescent="0.2">
      <c r="A24" s="445" t="s">
        <v>82</v>
      </c>
      <c r="B24" s="426" t="s">
        <v>252</v>
      </c>
      <c r="C24" s="298"/>
    </row>
    <row r="25" spans="1:3" s="99" customFormat="1" ht="12" customHeight="1" x14ac:dyDescent="0.2">
      <c r="A25" s="445" t="s">
        <v>83</v>
      </c>
      <c r="B25" s="426" t="s">
        <v>416</v>
      </c>
      <c r="C25" s="298"/>
    </row>
    <row r="26" spans="1:3" s="99" customFormat="1" ht="12" customHeight="1" x14ac:dyDescent="0.2">
      <c r="A26" s="445" t="s">
        <v>84</v>
      </c>
      <c r="B26" s="426" t="s">
        <v>417</v>
      </c>
      <c r="C26" s="298"/>
    </row>
    <row r="27" spans="1:3" s="99" customFormat="1" ht="12" customHeight="1" x14ac:dyDescent="0.2">
      <c r="A27" s="445" t="s">
        <v>160</v>
      </c>
      <c r="B27" s="426" t="s">
        <v>253</v>
      </c>
      <c r="C27" s="298"/>
    </row>
    <row r="28" spans="1:3" s="99" customFormat="1" ht="12" customHeight="1" thickBot="1" x14ac:dyDescent="0.25">
      <c r="A28" s="446" t="s">
        <v>161</v>
      </c>
      <c r="B28" s="427" t="s">
        <v>254</v>
      </c>
      <c r="C28" s="300"/>
    </row>
    <row r="29" spans="1:3" s="99" customFormat="1" ht="12" customHeight="1" thickBot="1" x14ac:dyDescent="0.25">
      <c r="A29" s="33" t="s">
        <v>162</v>
      </c>
      <c r="B29" s="21" t="s">
        <v>255</v>
      </c>
      <c r="C29" s="302">
        <f>SUM(C30:C37)</f>
        <v>4754290</v>
      </c>
    </row>
    <row r="30" spans="1:3" s="99" customFormat="1" ht="12" customHeight="1" x14ac:dyDescent="0.2">
      <c r="A30" s="444" t="s">
        <v>256</v>
      </c>
      <c r="B30" s="425" t="s">
        <v>543</v>
      </c>
      <c r="C30" s="299"/>
    </row>
    <row r="31" spans="1:3" s="99" customFormat="1" ht="12" customHeight="1" x14ac:dyDescent="0.2">
      <c r="A31" s="445" t="s">
        <v>257</v>
      </c>
      <c r="B31" s="426" t="s">
        <v>544</v>
      </c>
      <c r="C31" s="298"/>
    </row>
    <row r="32" spans="1:3" s="99" customFormat="1" ht="12" customHeight="1" x14ac:dyDescent="0.2">
      <c r="A32" s="445" t="s">
        <v>258</v>
      </c>
      <c r="B32" s="426" t="s">
        <v>630</v>
      </c>
      <c r="C32" s="298"/>
    </row>
    <row r="33" spans="1:3" s="99" customFormat="1" ht="12" customHeight="1" x14ac:dyDescent="0.2">
      <c r="A33" s="445" t="s">
        <v>259</v>
      </c>
      <c r="B33" s="426" t="s">
        <v>545</v>
      </c>
      <c r="C33" s="298">
        <v>4754290</v>
      </c>
    </row>
    <row r="34" spans="1:3" s="99" customFormat="1" ht="12" customHeight="1" x14ac:dyDescent="0.2">
      <c r="A34" s="445" t="s">
        <v>540</v>
      </c>
      <c r="B34" s="426" t="s">
        <v>546</v>
      </c>
      <c r="C34" s="298"/>
    </row>
    <row r="35" spans="1:3" s="99" customFormat="1" ht="12" customHeight="1" x14ac:dyDescent="0.2">
      <c r="A35" s="445" t="s">
        <v>541</v>
      </c>
      <c r="B35" s="426" t="s">
        <v>260</v>
      </c>
      <c r="C35" s="298"/>
    </row>
    <row r="36" spans="1:3" s="99" customFormat="1" ht="12" customHeight="1" x14ac:dyDescent="0.2">
      <c r="A36" s="446" t="s">
        <v>542</v>
      </c>
      <c r="B36" s="426" t="s">
        <v>261</v>
      </c>
      <c r="C36" s="298"/>
    </row>
    <row r="37" spans="1:3" s="99" customFormat="1" ht="12" customHeight="1" thickBot="1" x14ac:dyDescent="0.25">
      <c r="A37" s="446" t="s">
        <v>629</v>
      </c>
      <c r="B37" s="427" t="s">
        <v>262</v>
      </c>
      <c r="C37" s="300"/>
    </row>
    <row r="38" spans="1:3" s="99" customFormat="1" ht="12" customHeight="1" thickBot="1" x14ac:dyDescent="0.25">
      <c r="A38" s="33" t="s">
        <v>19</v>
      </c>
      <c r="B38" s="21" t="s">
        <v>426</v>
      </c>
      <c r="C38" s="296">
        <f>SUM(C39:C49)</f>
        <v>0</v>
      </c>
    </row>
    <row r="39" spans="1:3" s="99" customFormat="1" ht="12" customHeight="1" x14ac:dyDescent="0.2">
      <c r="A39" s="444" t="s">
        <v>85</v>
      </c>
      <c r="B39" s="425" t="s">
        <v>265</v>
      </c>
      <c r="C39" s="299"/>
    </row>
    <row r="40" spans="1:3" s="99" customFormat="1" ht="12" customHeight="1" x14ac:dyDescent="0.2">
      <c r="A40" s="445" t="s">
        <v>86</v>
      </c>
      <c r="B40" s="426" t="s">
        <v>266</v>
      </c>
      <c r="C40" s="298"/>
    </row>
    <row r="41" spans="1:3" s="99" customFormat="1" ht="12" customHeight="1" x14ac:dyDescent="0.2">
      <c r="A41" s="445" t="s">
        <v>87</v>
      </c>
      <c r="B41" s="426" t="s">
        <v>267</v>
      </c>
      <c r="C41" s="298"/>
    </row>
    <row r="42" spans="1:3" s="99" customFormat="1" ht="12" customHeight="1" x14ac:dyDescent="0.2">
      <c r="A42" s="445" t="s">
        <v>164</v>
      </c>
      <c r="B42" s="426" t="s">
        <v>268</v>
      </c>
      <c r="C42" s="298"/>
    </row>
    <row r="43" spans="1:3" s="99" customFormat="1" ht="12" customHeight="1" x14ac:dyDescent="0.2">
      <c r="A43" s="445" t="s">
        <v>165</v>
      </c>
      <c r="B43" s="426" t="s">
        <v>269</v>
      </c>
      <c r="C43" s="298"/>
    </row>
    <row r="44" spans="1:3" s="99" customFormat="1" ht="12" customHeight="1" x14ac:dyDescent="0.2">
      <c r="A44" s="445" t="s">
        <v>166</v>
      </c>
      <c r="B44" s="426" t="s">
        <v>270</v>
      </c>
      <c r="C44" s="298"/>
    </row>
    <row r="45" spans="1:3" s="99" customFormat="1" ht="12" customHeight="1" x14ac:dyDescent="0.2">
      <c r="A45" s="445" t="s">
        <v>167</v>
      </c>
      <c r="B45" s="426" t="s">
        <v>271</v>
      </c>
      <c r="C45" s="298"/>
    </row>
    <row r="46" spans="1:3" s="99" customFormat="1" ht="12" customHeight="1" x14ac:dyDescent="0.2">
      <c r="A46" s="445" t="s">
        <v>168</v>
      </c>
      <c r="B46" s="426" t="s">
        <v>549</v>
      </c>
      <c r="C46" s="298"/>
    </row>
    <row r="47" spans="1:3" s="99" customFormat="1" ht="12" customHeight="1" x14ac:dyDescent="0.2">
      <c r="A47" s="445" t="s">
        <v>263</v>
      </c>
      <c r="B47" s="426" t="s">
        <v>273</v>
      </c>
      <c r="C47" s="301"/>
    </row>
    <row r="48" spans="1:3" s="99" customFormat="1" ht="12" customHeight="1" x14ac:dyDescent="0.2">
      <c r="A48" s="446" t="s">
        <v>264</v>
      </c>
      <c r="B48" s="427" t="s">
        <v>428</v>
      </c>
      <c r="C48" s="411"/>
    </row>
    <row r="49" spans="1:3" s="99" customFormat="1" ht="12" customHeight="1" thickBot="1" x14ac:dyDescent="0.25">
      <c r="A49" s="446" t="s">
        <v>427</v>
      </c>
      <c r="B49" s="427" t="s">
        <v>274</v>
      </c>
      <c r="C49" s="411"/>
    </row>
    <row r="50" spans="1:3" s="99" customFormat="1" ht="12" customHeight="1" thickBot="1" x14ac:dyDescent="0.25">
      <c r="A50" s="33" t="s">
        <v>20</v>
      </c>
      <c r="B50" s="21" t="s">
        <v>275</v>
      </c>
      <c r="C50" s="296">
        <f>SUM(C51:C55)</f>
        <v>0</v>
      </c>
    </row>
    <row r="51" spans="1:3" s="99" customFormat="1" ht="12" customHeight="1" x14ac:dyDescent="0.2">
      <c r="A51" s="444" t="s">
        <v>88</v>
      </c>
      <c r="B51" s="425" t="s">
        <v>279</v>
      </c>
      <c r="C51" s="470"/>
    </row>
    <row r="52" spans="1:3" s="99" customFormat="1" ht="12" customHeight="1" x14ac:dyDescent="0.2">
      <c r="A52" s="445" t="s">
        <v>89</v>
      </c>
      <c r="B52" s="426" t="s">
        <v>280</v>
      </c>
      <c r="C52" s="301"/>
    </row>
    <row r="53" spans="1:3" s="99" customFormat="1" ht="12" customHeight="1" x14ac:dyDescent="0.2">
      <c r="A53" s="445" t="s">
        <v>276</v>
      </c>
      <c r="B53" s="426" t="s">
        <v>281</v>
      </c>
      <c r="C53" s="301"/>
    </row>
    <row r="54" spans="1:3" s="99" customFormat="1" ht="12" customHeight="1" x14ac:dyDescent="0.2">
      <c r="A54" s="445" t="s">
        <v>277</v>
      </c>
      <c r="B54" s="426" t="s">
        <v>282</v>
      </c>
      <c r="C54" s="301"/>
    </row>
    <row r="55" spans="1:3" s="99" customFormat="1" ht="12" customHeight="1" thickBot="1" x14ac:dyDescent="0.25">
      <c r="A55" s="446" t="s">
        <v>278</v>
      </c>
      <c r="B55" s="427" t="s">
        <v>283</v>
      </c>
      <c r="C55" s="411"/>
    </row>
    <row r="56" spans="1:3" s="99" customFormat="1" ht="12" customHeight="1" thickBot="1" x14ac:dyDescent="0.25">
      <c r="A56" s="33" t="s">
        <v>169</v>
      </c>
      <c r="B56" s="21" t="s">
        <v>284</v>
      </c>
      <c r="C56" s="296">
        <f>SUM(C57:C59)</f>
        <v>0</v>
      </c>
    </row>
    <row r="57" spans="1:3" s="99" customFormat="1" ht="12" customHeight="1" x14ac:dyDescent="0.2">
      <c r="A57" s="444" t="s">
        <v>90</v>
      </c>
      <c r="B57" s="425" t="s">
        <v>285</v>
      </c>
      <c r="C57" s="299"/>
    </row>
    <row r="58" spans="1:3" s="99" customFormat="1" ht="12" customHeight="1" x14ac:dyDescent="0.2">
      <c r="A58" s="445" t="s">
        <v>91</v>
      </c>
      <c r="B58" s="426" t="s">
        <v>418</v>
      </c>
      <c r="C58" s="298"/>
    </row>
    <row r="59" spans="1:3" s="99" customFormat="1" ht="12" customHeight="1" x14ac:dyDescent="0.2">
      <c r="A59" s="445" t="s">
        <v>288</v>
      </c>
      <c r="B59" s="426" t="s">
        <v>286</v>
      </c>
      <c r="C59" s="298"/>
    </row>
    <row r="60" spans="1:3" s="99" customFormat="1" ht="12" customHeight="1" thickBot="1" x14ac:dyDescent="0.25">
      <c r="A60" s="446" t="s">
        <v>289</v>
      </c>
      <c r="B60" s="427" t="s">
        <v>287</v>
      </c>
      <c r="C60" s="300"/>
    </row>
    <row r="61" spans="1:3" s="99" customFormat="1" ht="12" customHeight="1" thickBot="1" x14ac:dyDescent="0.25">
      <c r="A61" s="33" t="s">
        <v>22</v>
      </c>
      <c r="B61" s="291" t="s">
        <v>290</v>
      </c>
      <c r="C61" s="296">
        <f>SUM(C62:C64)</f>
        <v>0</v>
      </c>
    </row>
    <row r="62" spans="1:3" s="99" customFormat="1" ht="12" customHeight="1" x14ac:dyDescent="0.2">
      <c r="A62" s="444" t="s">
        <v>170</v>
      </c>
      <c r="B62" s="425" t="s">
        <v>292</v>
      </c>
      <c r="C62" s="301"/>
    </row>
    <row r="63" spans="1:3" s="99" customFormat="1" ht="12" customHeight="1" x14ac:dyDescent="0.2">
      <c r="A63" s="445" t="s">
        <v>171</v>
      </c>
      <c r="B63" s="426" t="s">
        <v>419</v>
      </c>
      <c r="C63" s="301"/>
    </row>
    <row r="64" spans="1:3" s="99" customFormat="1" ht="12" customHeight="1" x14ac:dyDescent="0.2">
      <c r="A64" s="445" t="s">
        <v>216</v>
      </c>
      <c r="B64" s="426" t="s">
        <v>293</v>
      </c>
      <c r="C64" s="301"/>
    </row>
    <row r="65" spans="1:3" s="99" customFormat="1" ht="12" customHeight="1" thickBot="1" x14ac:dyDescent="0.25">
      <c r="A65" s="446" t="s">
        <v>291</v>
      </c>
      <c r="B65" s="427" t="s">
        <v>294</v>
      </c>
      <c r="C65" s="301"/>
    </row>
    <row r="66" spans="1:3" s="99" customFormat="1" ht="12" customHeight="1" thickBot="1" x14ac:dyDescent="0.25">
      <c r="A66" s="33" t="s">
        <v>23</v>
      </c>
      <c r="B66" s="21" t="s">
        <v>295</v>
      </c>
      <c r="C66" s="302">
        <f>+C8+C15+C22+C29+C38+C50+C56+C61</f>
        <v>10999402</v>
      </c>
    </row>
    <row r="67" spans="1:3" s="99" customFormat="1" ht="12" customHeight="1" thickBot="1" x14ac:dyDescent="0.2">
      <c r="A67" s="447" t="s">
        <v>386</v>
      </c>
      <c r="B67" s="291" t="s">
        <v>297</v>
      </c>
      <c r="C67" s="296">
        <f>SUM(C68:C70)</f>
        <v>0</v>
      </c>
    </row>
    <row r="68" spans="1:3" s="99" customFormat="1" ht="12" customHeight="1" x14ac:dyDescent="0.2">
      <c r="A68" s="444" t="s">
        <v>328</v>
      </c>
      <c r="B68" s="425" t="s">
        <v>298</v>
      </c>
      <c r="C68" s="301"/>
    </row>
    <row r="69" spans="1:3" s="99" customFormat="1" ht="12" customHeight="1" x14ac:dyDescent="0.2">
      <c r="A69" s="445" t="s">
        <v>337</v>
      </c>
      <c r="B69" s="426" t="s">
        <v>299</v>
      </c>
      <c r="C69" s="301"/>
    </row>
    <row r="70" spans="1:3" s="99" customFormat="1" ht="12" customHeight="1" thickBot="1" x14ac:dyDescent="0.25">
      <c r="A70" s="446" t="s">
        <v>338</v>
      </c>
      <c r="B70" s="428" t="s">
        <v>300</v>
      </c>
      <c r="C70" s="301"/>
    </row>
    <row r="71" spans="1:3" s="99" customFormat="1" ht="12" customHeight="1" thickBot="1" x14ac:dyDescent="0.2">
      <c r="A71" s="447" t="s">
        <v>301</v>
      </c>
      <c r="B71" s="291" t="s">
        <v>302</v>
      </c>
      <c r="C71" s="296">
        <f>SUM(C72:C75)</f>
        <v>0</v>
      </c>
    </row>
    <row r="72" spans="1:3" s="99" customFormat="1" ht="12" customHeight="1" x14ac:dyDescent="0.2">
      <c r="A72" s="444" t="s">
        <v>142</v>
      </c>
      <c r="B72" s="425" t="s">
        <v>303</v>
      </c>
      <c r="C72" s="301"/>
    </row>
    <row r="73" spans="1:3" s="99" customFormat="1" ht="12" customHeight="1" x14ac:dyDescent="0.2">
      <c r="A73" s="445" t="s">
        <v>143</v>
      </c>
      <c r="B73" s="426" t="s">
        <v>304</v>
      </c>
      <c r="C73" s="301"/>
    </row>
    <row r="74" spans="1:3" s="99" customFormat="1" ht="12" customHeight="1" x14ac:dyDescent="0.2">
      <c r="A74" s="445" t="s">
        <v>329</v>
      </c>
      <c r="B74" s="426" t="s">
        <v>305</v>
      </c>
      <c r="C74" s="301"/>
    </row>
    <row r="75" spans="1:3" s="99" customFormat="1" ht="12" customHeight="1" thickBot="1" x14ac:dyDescent="0.25">
      <c r="A75" s="446" t="s">
        <v>330</v>
      </c>
      <c r="B75" s="427" t="s">
        <v>306</v>
      </c>
      <c r="C75" s="301"/>
    </row>
    <row r="76" spans="1:3" s="99" customFormat="1" ht="12" customHeight="1" thickBot="1" x14ac:dyDescent="0.2">
      <c r="A76" s="447" t="s">
        <v>307</v>
      </c>
      <c r="B76" s="291" t="s">
        <v>308</v>
      </c>
      <c r="C76" s="296">
        <f>SUM(C77:C78)</f>
        <v>0</v>
      </c>
    </row>
    <row r="77" spans="1:3" s="99" customFormat="1" ht="12" customHeight="1" x14ac:dyDescent="0.2">
      <c r="A77" s="444" t="s">
        <v>331</v>
      </c>
      <c r="B77" s="425" t="s">
        <v>309</v>
      </c>
      <c r="C77" s="301"/>
    </row>
    <row r="78" spans="1:3" s="99" customFormat="1" ht="12" customHeight="1" thickBot="1" x14ac:dyDescent="0.25">
      <c r="A78" s="446" t="s">
        <v>332</v>
      </c>
      <c r="B78" s="427" t="s">
        <v>310</v>
      </c>
      <c r="C78" s="301"/>
    </row>
    <row r="79" spans="1:3" s="98" customFormat="1" ht="12" customHeight="1" thickBot="1" x14ac:dyDescent="0.2">
      <c r="A79" s="447" t="s">
        <v>311</v>
      </c>
      <c r="B79" s="291" t="s">
        <v>312</v>
      </c>
      <c r="C79" s="296">
        <f>SUM(C80:C82)</f>
        <v>0</v>
      </c>
    </row>
    <row r="80" spans="1:3" s="99" customFormat="1" ht="12" customHeight="1" x14ac:dyDescent="0.2">
      <c r="A80" s="444" t="s">
        <v>333</v>
      </c>
      <c r="B80" s="425" t="s">
        <v>313</v>
      </c>
      <c r="C80" s="301"/>
    </row>
    <row r="81" spans="1:3" s="99" customFormat="1" ht="12" customHeight="1" x14ac:dyDescent="0.2">
      <c r="A81" s="445" t="s">
        <v>334</v>
      </c>
      <c r="B81" s="426" t="s">
        <v>314</v>
      </c>
      <c r="C81" s="301"/>
    </row>
    <row r="82" spans="1:3" s="99" customFormat="1" ht="12" customHeight="1" thickBot="1" x14ac:dyDescent="0.25">
      <c r="A82" s="446" t="s">
        <v>335</v>
      </c>
      <c r="B82" s="427" t="s">
        <v>315</v>
      </c>
      <c r="C82" s="301"/>
    </row>
    <row r="83" spans="1:3" s="99" customFormat="1" ht="12" customHeight="1" thickBot="1" x14ac:dyDescent="0.2">
      <c r="A83" s="447" t="s">
        <v>316</v>
      </c>
      <c r="B83" s="291" t="s">
        <v>336</v>
      </c>
      <c r="C83" s="296">
        <f>SUM(C84:C87)</f>
        <v>0</v>
      </c>
    </row>
    <row r="84" spans="1:3" s="99" customFormat="1" ht="12" customHeight="1" x14ac:dyDescent="0.2">
      <c r="A84" s="448" t="s">
        <v>317</v>
      </c>
      <c r="B84" s="425" t="s">
        <v>318</v>
      </c>
      <c r="C84" s="301"/>
    </row>
    <row r="85" spans="1:3" s="99" customFormat="1" ht="12" customHeight="1" x14ac:dyDescent="0.2">
      <c r="A85" s="449" t="s">
        <v>319</v>
      </c>
      <c r="B85" s="426" t="s">
        <v>320</v>
      </c>
      <c r="C85" s="301"/>
    </row>
    <row r="86" spans="1:3" s="99" customFormat="1" ht="12" customHeight="1" x14ac:dyDescent="0.2">
      <c r="A86" s="449" t="s">
        <v>321</v>
      </c>
      <c r="B86" s="426" t="s">
        <v>322</v>
      </c>
      <c r="C86" s="301"/>
    </row>
    <row r="87" spans="1:3" s="98" customFormat="1" ht="12" customHeight="1" thickBot="1" x14ac:dyDescent="0.25">
      <c r="A87" s="450" t="s">
        <v>323</v>
      </c>
      <c r="B87" s="427" t="s">
        <v>324</v>
      </c>
      <c r="C87" s="301"/>
    </row>
    <row r="88" spans="1:3" s="98" customFormat="1" ht="12" customHeight="1" thickBot="1" x14ac:dyDescent="0.2">
      <c r="A88" s="447" t="s">
        <v>325</v>
      </c>
      <c r="B88" s="291" t="s">
        <v>467</v>
      </c>
      <c r="C88" s="471"/>
    </row>
    <row r="89" spans="1:3" s="98" customFormat="1" ht="12" customHeight="1" thickBot="1" x14ac:dyDescent="0.2">
      <c r="A89" s="447" t="s">
        <v>494</v>
      </c>
      <c r="B89" s="291" t="s">
        <v>326</v>
      </c>
      <c r="C89" s="471"/>
    </row>
    <row r="90" spans="1:3" s="98" customFormat="1" ht="12" customHeight="1" thickBot="1" x14ac:dyDescent="0.2">
      <c r="A90" s="447" t="s">
        <v>495</v>
      </c>
      <c r="B90" s="432" t="s">
        <v>470</v>
      </c>
      <c r="C90" s="302">
        <f>+C67+C71+C76+C79+C83+C89+C88</f>
        <v>0</v>
      </c>
    </row>
    <row r="91" spans="1:3" s="98" customFormat="1" ht="12" customHeight="1" thickBot="1" x14ac:dyDescent="0.2">
      <c r="A91" s="451" t="s">
        <v>496</v>
      </c>
      <c r="B91" s="433" t="s">
        <v>497</v>
      </c>
      <c r="C91" s="302">
        <f>+C66+C90</f>
        <v>10999402</v>
      </c>
    </row>
    <row r="92" spans="1:3" s="99" customFormat="1" ht="15" customHeight="1" thickBot="1" x14ac:dyDescent="0.25">
      <c r="A92" s="249"/>
      <c r="B92" s="250"/>
      <c r="C92" s="366"/>
    </row>
    <row r="93" spans="1:3" s="72" customFormat="1" ht="16.5" customHeight="1" thickBot="1" x14ac:dyDescent="0.25">
      <c r="A93" s="253"/>
      <c r="B93" s="254" t="s">
        <v>54</v>
      </c>
      <c r="C93" s="368"/>
    </row>
    <row r="94" spans="1:3" s="100" customFormat="1" ht="12" customHeight="1" thickBot="1" x14ac:dyDescent="0.25">
      <c r="A94" s="417" t="s">
        <v>15</v>
      </c>
      <c r="B94" s="28" t="s">
        <v>501</v>
      </c>
      <c r="C94" s="295">
        <f>+C95+C96+C97+C98+C99+C112</f>
        <v>10999402</v>
      </c>
    </row>
    <row r="95" spans="1:3" ht="12" customHeight="1" x14ac:dyDescent="0.2">
      <c r="A95" s="452" t="s">
        <v>92</v>
      </c>
      <c r="B95" s="10" t="s">
        <v>46</v>
      </c>
      <c r="C95" s="297">
        <v>6747617</v>
      </c>
    </row>
    <row r="96" spans="1:3" ht="12" customHeight="1" x14ac:dyDescent="0.2">
      <c r="A96" s="445" t="s">
        <v>93</v>
      </c>
      <c r="B96" s="8" t="s">
        <v>172</v>
      </c>
      <c r="C96" s="298">
        <v>1815785</v>
      </c>
    </row>
    <row r="97" spans="1:3" ht="12" customHeight="1" x14ac:dyDescent="0.2">
      <c r="A97" s="445" t="s">
        <v>94</v>
      </c>
      <c r="B97" s="8" t="s">
        <v>134</v>
      </c>
      <c r="C97" s="300">
        <v>2436000</v>
      </c>
    </row>
    <row r="98" spans="1:3" ht="12" customHeight="1" x14ac:dyDescent="0.2">
      <c r="A98" s="445" t="s">
        <v>95</v>
      </c>
      <c r="B98" s="11" t="s">
        <v>173</v>
      </c>
      <c r="C98" s="300"/>
    </row>
    <row r="99" spans="1:3" ht="12" customHeight="1" x14ac:dyDescent="0.2">
      <c r="A99" s="445" t="s">
        <v>106</v>
      </c>
      <c r="B99" s="19" t="s">
        <v>174</v>
      </c>
      <c r="C99" s="300"/>
    </row>
    <row r="100" spans="1:3" ht="12" customHeight="1" x14ac:dyDescent="0.2">
      <c r="A100" s="445" t="s">
        <v>96</v>
      </c>
      <c r="B100" s="8" t="s">
        <v>498</v>
      </c>
      <c r="C100" s="300"/>
    </row>
    <row r="101" spans="1:3" ht="12" customHeight="1" x14ac:dyDescent="0.2">
      <c r="A101" s="445" t="s">
        <v>97</v>
      </c>
      <c r="B101" s="149" t="s">
        <v>433</v>
      </c>
      <c r="C101" s="300"/>
    </row>
    <row r="102" spans="1:3" ht="12" customHeight="1" x14ac:dyDescent="0.2">
      <c r="A102" s="445" t="s">
        <v>107</v>
      </c>
      <c r="B102" s="149" t="s">
        <v>432</v>
      </c>
      <c r="C102" s="300"/>
    </row>
    <row r="103" spans="1:3" ht="12" customHeight="1" x14ac:dyDescent="0.2">
      <c r="A103" s="445" t="s">
        <v>108</v>
      </c>
      <c r="B103" s="149" t="s">
        <v>342</v>
      </c>
      <c r="C103" s="300"/>
    </row>
    <row r="104" spans="1:3" ht="12" customHeight="1" x14ac:dyDescent="0.2">
      <c r="A104" s="445" t="s">
        <v>109</v>
      </c>
      <c r="B104" s="150" t="s">
        <v>343</v>
      </c>
      <c r="C104" s="300"/>
    </row>
    <row r="105" spans="1:3" ht="12" customHeight="1" x14ac:dyDescent="0.2">
      <c r="A105" s="445" t="s">
        <v>110</v>
      </c>
      <c r="B105" s="150" t="s">
        <v>344</v>
      </c>
      <c r="C105" s="300"/>
    </row>
    <row r="106" spans="1:3" ht="12" customHeight="1" x14ac:dyDescent="0.2">
      <c r="A106" s="445" t="s">
        <v>112</v>
      </c>
      <c r="B106" s="149" t="s">
        <v>345</v>
      </c>
      <c r="C106" s="300"/>
    </row>
    <row r="107" spans="1:3" ht="12" customHeight="1" x14ac:dyDescent="0.2">
      <c r="A107" s="445" t="s">
        <v>175</v>
      </c>
      <c r="B107" s="149" t="s">
        <v>346</v>
      </c>
      <c r="C107" s="300"/>
    </row>
    <row r="108" spans="1:3" ht="12" customHeight="1" x14ac:dyDescent="0.2">
      <c r="A108" s="445" t="s">
        <v>340</v>
      </c>
      <c r="B108" s="150" t="s">
        <v>347</v>
      </c>
      <c r="C108" s="300"/>
    </row>
    <row r="109" spans="1:3" ht="12" customHeight="1" x14ac:dyDescent="0.2">
      <c r="A109" s="453" t="s">
        <v>341</v>
      </c>
      <c r="B109" s="151" t="s">
        <v>348</v>
      </c>
      <c r="C109" s="300"/>
    </row>
    <row r="110" spans="1:3" ht="12" customHeight="1" x14ac:dyDescent="0.2">
      <c r="A110" s="445" t="s">
        <v>430</v>
      </c>
      <c r="B110" s="151" t="s">
        <v>349</v>
      </c>
      <c r="C110" s="300"/>
    </row>
    <row r="111" spans="1:3" ht="12" customHeight="1" x14ac:dyDescent="0.2">
      <c r="A111" s="445" t="s">
        <v>431</v>
      </c>
      <c r="B111" s="150" t="s">
        <v>350</v>
      </c>
      <c r="C111" s="298"/>
    </row>
    <row r="112" spans="1:3" ht="12" customHeight="1" x14ac:dyDescent="0.2">
      <c r="A112" s="445" t="s">
        <v>435</v>
      </c>
      <c r="B112" s="11" t="s">
        <v>47</v>
      </c>
      <c r="C112" s="298"/>
    </row>
    <row r="113" spans="1:3" ht="12" customHeight="1" x14ac:dyDescent="0.2">
      <c r="A113" s="446" t="s">
        <v>436</v>
      </c>
      <c r="B113" s="8" t="s">
        <v>499</v>
      </c>
      <c r="C113" s="300"/>
    </row>
    <row r="114" spans="1:3" ht="12" customHeight="1" thickBot="1" x14ac:dyDescent="0.25">
      <c r="A114" s="454" t="s">
        <v>437</v>
      </c>
      <c r="B114" s="152" t="s">
        <v>500</v>
      </c>
      <c r="C114" s="304"/>
    </row>
    <row r="115" spans="1:3" ht="12" customHeight="1" thickBot="1" x14ac:dyDescent="0.25">
      <c r="A115" s="33" t="s">
        <v>16</v>
      </c>
      <c r="B115" s="27" t="s">
        <v>351</v>
      </c>
      <c r="C115" s="296">
        <f>+C116+C118+C120</f>
        <v>0</v>
      </c>
    </row>
    <row r="116" spans="1:3" ht="12" customHeight="1" x14ac:dyDescent="0.2">
      <c r="A116" s="444" t="s">
        <v>98</v>
      </c>
      <c r="B116" s="8" t="s">
        <v>214</v>
      </c>
      <c r="C116" s="299"/>
    </row>
    <row r="117" spans="1:3" ht="12" customHeight="1" x14ac:dyDescent="0.2">
      <c r="A117" s="444" t="s">
        <v>99</v>
      </c>
      <c r="B117" s="12" t="s">
        <v>355</v>
      </c>
      <c r="C117" s="299"/>
    </row>
    <row r="118" spans="1:3" ht="12" customHeight="1" x14ac:dyDescent="0.2">
      <c r="A118" s="444" t="s">
        <v>100</v>
      </c>
      <c r="B118" s="12" t="s">
        <v>176</v>
      </c>
      <c r="C118" s="298"/>
    </row>
    <row r="119" spans="1:3" ht="12" customHeight="1" x14ac:dyDescent="0.2">
      <c r="A119" s="444" t="s">
        <v>101</v>
      </c>
      <c r="B119" s="12" t="s">
        <v>356</v>
      </c>
      <c r="C119" s="279"/>
    </row>
    <row r="120" spans="1:3" ht="12" customHeight="1" x14ac:dyDescent="0.2">
      <c r="A120" s="444" t="s">
        <v>102</v>
      </c>
      <c r="B120" s="293" t="s">
        <v>217</v>
      </c>
      <c r="C120" s="279"/>
    </row>
    <row r="121" spans="1:3" ht="12" customHeight="1" x14ac:dyDescent="0.2">
      <c r="A121" s="444" t="s">
        <v>111</v>
      </c>
      <c r="B121" s="292" t="s">
        <v>420</v>
      </c>
      <c r="C121" s="279"/>
    </row>
    <row r="122" spans="1:3" ht="12" customHeight="1" x14ac:dyDescent="0.2">
      <c r="A122" s="444" t="s">
        <v>113</v>
      </c>
      <c r="B122" s="421" t="s">
        <v>361</v>
      </c>
      <c r="C122" s="279"/>
    </row>
    <row r="123" spans="1:3" ht="12" customHeight="1" x14ac:dyDescent="0.2">
      <c r="A123" s="444" t="s">
        <v>177</v>
      </c>
      <c r="B123" s="150" t="s">
        <v>344</v>
      </c>
      <c r="C123" s="279"/>
    </row>
    <row r="124" spans="1:3" ht="12" customHeight="1" x14ac:dyDescent="0.2">
      <c r="A124" s="444" t="s">
        <v>178</v>
      </c>
      <c r="B124" s="150" t="s">
        <v>360</v>
      </c>
      <c r="C124" s="279"/>
    </row>
    <row r="125" spans="1:3" ht="12" customHeight="1" x14ac:dyDescent="0.2">
      <c r="A125" s="444" t="s">
        <v>179</v>
      </c>
      <c r="B125" s="150" t="s">
        <v>359</v>
      </c>
      <c r="C125" s="279"/>
    </row>
    <row r="126" spans="1:3" ht="12" customHeight="1" x14ac:dyDescent="0.2">
      <c r="A126" s="444" t="s">
        <v>352</v>
      </c>
      <c r="B126" s="150" t="s">
        <v>347</v>
      </c>
      <c r="C126" s="279"/>
    </row>
    <row r="127" spans="1:3" ht="12" customHeight="1" x14ac:dyDescent="0.2">
      <c r="A127" s="444" t="s">
        <v>353</v>
      </c>
      <c r="B127" s="150" t="s">
        <v>358</v>
      </c>
      <c r="C127" s="279"/>
    </row>
    <row r="128" spans="1:3" ht="12" customHeight="1" thickBot="1" x14ac:dyDescent="0.25">
      <c r="A128" s="453" t="s">
        <v>354</v>
      </c>
      <c r="B128" s="150" t="s">
        <v>357</v>
      </c>
      <c r="C128" s="281"/>
    </row>
    <row r="129" spans="1:11" ht="12" customHeight="1" thickBot="1" x14ac:dyDescent="0.25">
      <c r="A129" s="33" t="s">
        <v>17</v>
      </c>
      <c r="B129" s="132" t="s">
        <v>440</v>
      </c>
      <c r="C129" s="296">
        <f>+C94+C115</f>
        <v>10999402</v>
      </c>
    </row>
    <row r="130" spans="1:11" ht="12" customHeight="1" thickBot="1" x14ac:dyDescent="0.25">
      <c r="A130" s="33" t="s">
        <v>18</v>
      </c>
      <c r="B130" s="132" t="s">
        <v>441</v>
      </c>
      <c r="C130" s="296">
        <f>+C131+C132+C133</f>
        <v>0</v>
      </c>
    </row>
    <row r="131" spans="1:11" s="100" customFormat="1" ht="12" customHeight="1" x14ac:dyDescent="0.2">
      <c r="A131" s="444" t="s">
        <v>256</v>
      </c>
      <c r="B131" s="9" t="s">
        <v>504</v>
      </c>
      <c r="C131" s="279"/>
    </row>
    <row r="132" spans="1:11" ht="12" customHeight="1" x14ac:dyDescent="0.2">
      <c r="A132" s="444" t="s">
        <v>257</v>
      </c>
      <c r="B132" s="9" t="s">
        <v>449</v>
      </c>
      <c r="C132" s="279"/>
    </row>
    <row r="133" spans="1:11" ht="12" customHeight="1" thickBot="1" x14ac:dyDescent="0.25">
      <c r="A133" s="453" t="s">
        <v>258</v>
      </c>
      <c r="B133" s="7" t="s">
        <v>503</v>
      </c>
      <c r="C133" s="279"/>
    </row>
    <row r="134" spans="1:11" ht="12" customHeight="1" thickBot="1" x14ac:dyDescent="0.25">
      <c r="A134" s="33" t="s">
        <v>19</v>
      </c>
      <c r="B134" s="132" t="s">
        <v>442</v>
      </c>
      <c r="C134" s="296">
        <f>+C135+C136+C137+C138+C139+C140</f>
        <v>0</v>
      </c>
    </row>
    <row r="135" spans="1:11" ht="12" customHeight="1" x14ac:dyDescent="0.2">
      <c r="A135" s="444" t="s">
        <v>85</v>
      </c>
      <c r="B135" s="9" t="s">
        <v>451</v>
      </c>
      <c r="C135" s="279"/>
    </row>
    <row r="136" spans="1:11" ht="12" customHeight="1" x14ac:dyDescent="0.2">
      <c r="A136" s="444" t="s">
        <v>86</v>
      </c>
      <c r="B136" s="9" t="s">
        <v>443</v>
      </c>
      <c r="C136" s="279"/>
    </row>
    <row r="137" spans="1:11" ht="12" customHeight="1" x14ac:dyDescent="0.2">
      <c r="A137" s="444" t="s">
        <v>87</v>
      </c>
      <c r="B137" s="9" t="s">
        <v>444</v>
      </c>
      <c r="C137" s="279"/>
    </row>
    <row r="138" spans="1:11" ht="12" customHeight="1" x14ac:dyDescent="0.2">
      <c r="A138" s="444" t="s">
        <v>164</v>
      </c>
      <c r="B138" s="9" t="s">
        <v>502</v>
      </c>
      <c r="C138" s="279"/>
    </row>
    <row r="139" spans="1:11" ht="12" customHeight="1" x14ac:dyDescent="0.2">
      <c r="A139" s="444" t="s">
        <v>165</v>
      </c>
      <c r="B139" s="9" t="s">
        <v>446</v>
      </c>
      <c r="C139" s="279"/>
    </row>
    <row r="140" spans="1:11" s="100" customFormat="1" ht="12" customHeight="1" thickBot="1" x14ac:dyDescent="0.25">
      <c r="A140" s="453" t="s">
        <v>166</v>
      </c>
      <c r="B140" s="7" t="s">
        <v>447</v>
      </c>
      <c r="C140" s="279"/>
    </row>
    <row r="141" spans="1:11" ht="12" customHeight="1" thickBot="1" x14ac:dyDescent="0.25">
      <c r="A141" s="33" t="s">
        <v>20</v>
      </c>
      <c r="B141" s="132" t="s">
        <v>529</v>
      </c>
      <c r="C141" s="302">
        <f>+C142+C143+C145+C146+C144</f>
        <v>0</v>
      </c>
      <c r="K141" s="261"/>
    </row>
    <row r="142" spans="1:11" x14ac:dyDescent="0.2">
      <c r="A142" s="444" t="s">
        <v>88</v>
      </c>
      <c r="B142" s="9" t="s">
        <v>362</v>
      </c>
      <c r="C142" s="279"/>
    </row>
    <row r="143" spans="1:11" ht="12" customHeight="1" x14ac:dyDescent="0.2">
      <c r="A143" s="444" t="s">
        <v>89</v>
      </c>
      <c r="B143" s="9" t="s">
        <v>363</v>
      </c>
      <c r="C143" s="279"/>
    </row>
    <row r="144" spans="1:11" s="100" customFormat="1" ht="12" customHeight="1" x14ac:dyDescent="0.2">
      <c r="A144" s="444" t="s">
        <v>276</v>
      </c>
      <c r="B144" s="9" t="s">
        <v>528</v>
      </c>
      <c r="C144" s="279"/>
    </row>
    <row r="145" spans="1:3" s="100" customFormat="1" ht="12" customHeight="1" x14ac:dyDescent="0.2">
      <c r="A145" s="444" t="s">
        <v>277</v>
      </c>
      <c r="B145" s="9" t="s">
        <v>456</v>
      </c>
      <c r="C145" s="279"/>
    </row>
    <row r="146" spans="1:3" s="100" customFormat="1" ht="12" customHeight="1" thickBot="1" x14ac:dyDescent="0.25">
      <c r="A146" s="453" t="s">
        <v>278</v>
      </c>
      <c r="B146" s="7" t="s">
        <v>382</v>
      </c>
      <c r="C146" s="279"/>
    </row>
    <row r="147" spans="1:3" s="100" customFormat="1" ht="12" customHeight="1" thickBot="1" x14ac:dyDescent="0.25">
      <c r="A147" s="33" t="s">
        <v>21</v>
      </c>
      <c r="B147" s="132" t="s">
        <v>457</v>
      </c>
      <c r="C147" s="305">
        <f>+C148+C149+C150+C151+C152</f>
        <v>0</v>
      </c>
    </row>
    <row r="148" spans="1:3" s="100" customFormat="1" ht="12" customHeight="1" x14ac:dyDescent="0.2">
      <c r="A148" s="444" t="s">
        <v>90</v>
      </c>
      <c r="B148" s="9" t="s">
        <v>452</v>
      </c>
      <c r="C148" s="279"/>
    </row>
    <row r="149" spans="1:3" s="100" customFormat="1" ht="12" customHeight="1" x14ac:dyDescent="0.2">
      <c r="A149" s="444" t="s">
        <v>91</v>
      </c>
      <c r="B149" s="9" t="s">
        <v>459</v>
      </c>
      <c r="C149" s="279"/>
    </row>
    <row r="150" spans="1:3" s="100" customFormat="1" ht="12" customHeight="1" x14ac:dyDescent="0.2">
      <c r="A150" s="444" t="s">
        <v>288</v>
      </c>
      <c r="B150" s="9" t="s">
        <v>454</v>
      </c>
      <c r="C150" s="279"/>
    </row>
    <row r="151" spans="1:3" ht="12.75" customHeight="1" x14ac:dyDescent="0.2">
      <c r="A151" s="444" t="s">
        <v>289</v>
      </c>
      <c r="B151" s="9" t="s">
        <v>505</v>
      </c>
      <c r="C151" s="279"/>
    </row>
    <row r="152" spans="1:3" ht="12.75" customHeight="1" thickBot="1" x14ac:dyDescent="0.25">
      <c r="A152" s="453" t="s">
        <v>458</v>
      </c>
      <c r="B152" s="7" t="s">
        <v>461</v>
      </c>
      <c r="C152" s="281"/>
    </row>
    <row r="153" spans="1:3" ht="12.75" customHeight="1" thickBot="1" x14ac:dyDescent="0.25">
      <c r="A153" s="497" t="s">
        <v>22</v>
      </c>
      <c r="B153" s="132" t="s">
        <v>462</v>
      </c>
      <c r="C153" s="305"/>
    </row>
    <row r="154" spans="1:3" ht="12" customHeight="1" thickBot="1" x14ac:dyDescent="0.25">
      <c r="A154" s="497" t="s">
        <v>23</v>
      </c>
      <c r="B154" s="132" t="s">
        <v>463</v>
      </c>
      <c r="C154" s="305"/>
    </row>
    <row r="155" spans="1:3" ht="15" customHeight="1" thickBot="1" x14ac:dyDescent="0.25">
      <c r="A155" s="33" t="s">
        <v>24</v>
      </c>
      <c r="B155" s="132" t="s">
        <v>465</v>
      </c>
      <c r="C155" s="435">
        <f>+C130+C134+C141+C147+C153+C154</f>
        <v>0</v>
      </c>
    </row>
    <row r="156" spans="1:3" ht="13.5" thickBot="1" x14ac:dyDescent="0.25">
      <c r="A156" s="455" t="s">
        <v>25</v>
      </c>
      <c r="B156" s="387" t="s">
        <v>464</v>
      </c>
      <c r="C156" s="435">
        <f>+C129+C155</f>
        <v>10999402</v>
      </c>
    </row>
    <row r="157" spans="1:3" ht="15" customHeight="1" thickBot="1" x14ac:dyDescent="0.25">
      <c r="A157" s="395"/>
      <c r="B157" s="396"/>
      <c r="C157" s="397"/>
    </row>
    <row r="158" spans="1:3" ht="14.25" customHeight="1" thickBot="1" x14ac:dyDescent="0.25">
      <c r="A158" s="258" t="s">
        <v>506</v>
      </c>
      <c r="B158" s="259"/>
      <c r="C158" s="129"/>
    </row>
    <row r="159" spans="1:3" ht="13.5" thickBot="1" x14ac:dyDescent="0.25">
      <c r="A159" s="258" t="s">
        <v>195</v>
      </c>
      <c r="B159" s="259"/>
      <c r="C159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9"/>
  <sheetViews>
    <sheetView view="pageBreakPreview" topLeftCell="A115" zoomScale="85" zoomScaleNormal="130" zoomScaleSheetLayoutView="85" workbookViewId="0">
      <selection activeCell="C6" sqref="C6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16384" width="9.33203125" style="3"/>
  </cols>
  <sheetData>
    <row r="1" spans="1:3" s="2" customFormat="1" ht="16.5" customHeight="1" thickBot="1" x14ac:dyDescent="0.25">
      <c r="A1" s="236"/>
      <c r="B1" s="238"/>
      <c r="C1" s="260" t="str">
        <f>+CONCATENATE("9.1.3. melléklet a …./",LEFT(ÖSSZEFÜGGÉSEK!A5,4),". (…..) önkormányzati rendelethez")</f>
        <v>9.1.3. melléklet a …./2019. (…..) önkormányzati rendelethez</v>
      </c>
    </row>
    <row r="2" spans="1:3" s="96" customFormat="1" ht="21" customHeight="1" x14ac:dyDescent="0.2">
      <c r="A2" s="415" t="s">
        <v>59</v>
      </c>
      <c r="B2" s="357" t="s">
        <v>554</v>
      </c>
      <c r="C2" s="359" t="s">
        <v>51</v>
      </c>
    </row>
    <row r="3" spans="1:3" s="96" customFormat="1" ht="16.5" thickBot="1" x14ac:dyDescent="0.25">
      <c r="A3" s="239" t="s">
        <v>192</v>
      </c>
      <c r="B3" s="358" t="s">
        <v>516</v>
      </c>
      <c r="C3" s="496" t="s">
        <v>57</v>
      </c>
    </row>
    <row r="4" spans="1:3" s="97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72" customFormat="1" ht="12.95" customHeight="1" thickBot="1" x14ac:dyDescent="0.25">
      <c r="A6" s="205"/>
      <c r="B6" s="206" t="s">
        <v>484</v>
      </c>
      <c r="C6" s="207" t="s">
        <v>485</v>
      </c>
    </row>
    <row r="7" spans="1:3" s="72" customFormat="1" ht="15.95" customHeight="1" thickBot="1" x14ac:dyDescent="0.25">
      <c r="A7" s="243"/>
      <c r="B7" s="244" t="s">
        <v>53</v>
      </c>
      <c r="C7" s="361"/>
    </row>
    <row r="8" spans="1:3" s="72" customFormat="1" ht="12" customHeight="1" thickBot="1" x14ac:dyDescent="0.25">
      <c r="A8" s="33" t="s">
        <v>15</v>
      </c>
      <c r="B8" s="21" t="s">
        <v>240</v>
      </c>
      <c r="C8" s="296">
        <f>+C9+C10+C11+C12+C13+C14</f>
        <v>0</v>
      </c>
    </row>
    <row r="9" spans="1:3" s="98" customFormat="1" ht="12" customHeight="1" x14ac:dyDescent="0.2">
      <c r="A9" s="444" t="s">
        <v>92</v>
      </c>
      <c r="B9" s="425" t="s">
        <v>241</v>
      </c>
      <c r="C9" s="299"/>
    </row>
    <row r="10" spans="1:3" s="99" customFormat="1" ht="12" customHeight="1" x14ac:dyDescent="0.2">
      <c r="A10" s="445" t="s">
        <v>93</v>
      </c>
      <c r="B10" s="426" t="s">
        <v>242</v>
      </c>
      <c r="C10" s="298"/>
    </row>
    <row r="11" spans="1:3" s="99" customFormat="1" ht="12" customHeight="1" x14ac:dyDescent="0.2">
      <c r="A11" s="445" t="s">
        <v>94</v>
      </c>
      <c r="B11" s="426" t="s">
        <v>538</v>
      </c>
      <c r="C11" s="298"/>
    </row>
    <row r="12" spans="1:3" s="99" customFormat="1" ht="12" customHeight="1" x14ac:dyDescent="0.2">
      <c r="A12" s="445" t="s">
        <v>95</v>
      </c>
      <c r="B12" s="426" t="s">
        <v>244</v>
      </c>
      <c r="C12" s="298"/>
    </row>
    <row r="13" spans="1:3" s="99" customFormat="1" ht="12" customHeight="1" x14ac:dyDescent="0.2">
      <c r="A13" s="445" t="s">
        <v>141</v>
      </c>
      <c r="B13" s="426" t="s">
        <v>493</v>
      </c>
      <c r="C13" s="298"/>
    </row>
    <row r="14" spans="1:3" s="98" customFormat="1" ht="12" customHeight="1" thickBot="1" x14ac:dyDescent="0.25">
      <c r="A14" s="446" t="s">
        <v>96</v>
      </c>
      <c r="B14" s="427" t="s">
        <v>425</v>
      </c>
      <c r="C14" s="298"/>
    </row>
    <row r="15" spans="1:3" s="98" customFormat="1" ht="12" customHeight="1" thickBot="1" x14ac:dyDescent="0.25">
      <c r="A15" s="33" t="s">
        <v>16</v>
      </c>
      <c r="B15" s="291" t="s">
        <v>245</v>
      </c>
      <c r="C15" s="296">
        <f>+C16+C17+C18+C19+C20</f>
        <v>0</v>
      </c>
    </row>
    <row r="16" spans="1:3" s="98" customFormat="1" ht="12" customHeight="1" x14ac:dyDescent="0.2">
      <c r="A16" s="444" t="s">
        <v>98</v>
      </c>
      <c r="B16" s="425" t="s">
        <v>246</v>
      </c>
      <c r="C16" s="299"/>
    </row>
    <row r="17" spans="1:3" s="98" customFormat="1" ht="12" customHeight="1" x14ac:dyDescent="0.2">
      <c r="A17" s="445" t="s">
        <v>99</v>
      </c>
      <c r="B17" s="426" t="s">
        <v>247</v>
      </c>
      <c r="C17" s="298"/>
    </row>
    <row r="18" spans="1:3" s="98" customFormat="1" ht="12" customHeight="1" x14ac:dyDescent="0.2">
      <c r="A18" s="445" t="s">
        <v>100</v>
      </c>
      <c r="B18" s="426" t="s">
        <v>414</v>
      </c>
      <c r="C18" s="298"/>
    </row>
    <row r="19" spans="1:3" s="98" customFormat="1" ht="12" customHeight="1" x14ac:dyDescent="0.2">
      <c r="A19" s="445" t="s">
        <v>101</v>
      </c>
      <c r="B19" s="426" t="s">
        <v>415</v>
      </c>
      <c r="C19" s="298"/>
    </row>
    <row r="20" spans="1:3" s="98" customFormat="1" ht="12" customHeight="1" x14ac:dyDescent="0.2">
      <c r="A20" s="445" t="s">
        <v>102</v>
      </c>
      <c r="B20" s="426" t="s">
        <v>248</v>
      </c>
      <c r="C20" s="298"/>
    </row>
    <row r="21" spans="1:3" s="99" customFormat="1" ht="12" customHeight="1" thickBot="1" x14ac:dyDescent="0.25">
      <c r="A21" s="446" t="s">
        <v>111</v>
      </c>
      <c r="B21" s="427" t="s">
        <v>249</v>
      </c>
      <c r="C21" s="300"/>
    </row>
    <row r="22" spans="1:3" s="99" customFormat="1" ht="12" customHeight="1" thickBot="1" x14ac:dyDescent="0.25">
      <c r="A22" s="33" t="s">
        <v>17</v>
      </c>
      <c r="B22" s="21" t="s">
        <v>250</v>
      </c>
      <c r="C22" s="296">
        <f>+C23+C24+C25+C26+C27</f>
        <v>0</v>
      </c>
    </row>
    <row r="23" spans="1:3" s="99" customFormat="1" ht="12" customHeight="1" x14ac:dyDescent="0.2">
      <c r="A23" s="444" t="s">
        <v>81</v>
      </c>
      <c r="B23" s="425" t="s">
        <v>251</v>
      </c>
      <c r="C23" s="299"/>
    </row>
    <row r="24" spans="1:3" s="98" customFormat="1" ht="12" customHeight="1" x14ac:dyDescent="0.2">
      <c r="A24" s="445" t="s">
        <v>82</v>
      </c>
      <c r="B24" s="426" t="s">
        <v>252</v>
      </c>
      <c r="C24" s="298"/>
    </row>
    <row r="25" spans="1:3" s="99" customFormat="1" ht="12" customHeight="1" x14ac:dyDescent="0.2">
      <c r="A25" s="445" t="s">
        <v>83</v>
      </c>
      <c r="B25" s="426" t="s">
        <v>416</v>
      </c>
      <c r="C25" s="298"/>
    </row>
    <row r="26" spans="1:3" s="99" customFormat="1" ht="12" customHeight="1" x14ac:dyDescent="0.2">
      <c r="A26" s="445" t="s">
        <v>84</v>
      </c>
      <c r="B26" s="426" t="s">
        <v>417</v>
      </c>
      <c r="C26" s="298"/>
    </row>
    <row r="27" spans="1:3" s="99" customFormat="1" ht="12" customHeight="1" x14ac:dyDescent="0.2">
      <c r="A27" s="445" t="s">
        <v>160</v>
      </c>
      <c r="B27" s="426" t="s">
        <v>253</v>
      </c>
      <c r="C27" s="298"/>
    </row>
    <row r="28" spans="1:3" s="99" customFormat="1" ht="12" customHeight="1" thickBot="1" x14ac:dyDescent="0.25">
      <c r="A28" s="446" t="s">
        <v>161</v>
      </c>
      <c r="B28" s="427" t="s">
        <v>254</v>
      </c>
      <c r="C28" s="300"/>
    </row>
    <row r="29" spans="1:3" s="99" customFormat="1" ht="12" customHeight="1" thickBot="1" x14ac:dyDescent="0.25">
      <c r="A29" s="33" t="s">
        <v>162</v>
      </c>
      <c r="B29" s="21" t="s">
        <v>255</v>
      </c>
      <c r="C29" s="302">
        <f>SUM(C30:C37)</f>
        <v>0</v>
      </c>
    </row>
    <row r="30" spans="1:3" s="99" customFormat="1" ht="12" customHeight="1" x14ac:dyDescent="0.2">
      <c r="A30" s="444" t="s">
        <v>256</v>
      </c>
      <c r="B30" s="425" t="s">
        <v>543</v>
      </c>
      <c r="C30" s="299"/>
    </row>
    <row r="31" spans="1:3" s="99" customFormat="1" ht="12" customHeight="1" x14ac:dyDescent="0.2">
      <c r="A31" s="445" t="s">
        <v>257</v>
      </c>
      <c r="B31" s="426" t="s">
        <v>544</v>
      </c>
      <c r="C31" s="298"/>
    </row>
    <row r="32" spans="1:3" s="99" customFormat="1" ht="12" customHeight="1" x14ac:dyDescent="0.2">
      <c r="A32" s="445" t="s">
        <v>258</v>
      </c>
      <c r="B32" s="426" t="s">
        <v>628</v>
      </c>
      <c r="C32" s="298"/>
    </row>
    <row r="33" spans="1:3" s="99" customFormat="1" ht="12" customHeight="1" x14ac:dyDescent="0.2">
      <c r="A33" s="445" t="s">
        <v>259</v>
      </c>
      <c r="B33" s="426" t="s">
        <v>545</v>
      </c>
      <c r="C33" s="298"/>
    </row>
    <row r="34" spans="1:3" s="99" customFormat="1" ht="12" customHeight="1" x14ac:dyDescent="0.2">
      <c r="A34" s="445" t="s">
        <v>540</v>
      </c>
      <c r="B34" s="426" t="s">
        <v>546</v>
      </c>
      <c r="C34" s="298"/>
    </row>
    <row r="35" spans="1:3" s="99" customFormat="1" ht="12" customHeight="1" x14ac:dyDescent="0.2">
      <c r="A35" s="445" t="s">
        <v>541</v>
      </c>
      <c r="B35" s="426" t="s">
        <v>260</v>
      </c>
      <c r="C35" s="298"/>
    </row>
    <row r="36" spans="1:3" s="99" customFormat="1" ht="12" customHeight="1" x14ac:dyDescent="0.2">
      <c r="A36" s="446" t="s">
        <v>542</v>
      </c>
      <c r="B36" s="426" t="s">
        <v>261</v>
      </c>
      <c r="C36" s="298"/>
    </row>
    <row r="37" spans="1:3" s="99" customFormat="1" ht="12" customHeight="1" thickBot="1" x14ac:dyDescent="0.25">
      <c r="A37" s="446" t="s">
        <v>629</v>
      </c>
      <c r="B37" s="522" t="s">
        <v>262</v>
      </c>
      <c r="C37" s="300"/>
    </row>
    <row r="38" spans="1:3" s="99" customFormat="1" ht="12" customHeight="1" thickBot="1" x14ac:dyDescent="0.25">
      <c r="A38" s="33" t="s">
        <v>19</v>
      </c>
      <c r="B38" s="21" t="s">
        <v>426</v>
      </c>
      <c r="C38" s="296">
        <f>SUM(C39:C49)</f>
        <v>0</v>
      </c>
    </row>
    <row r="39" spans="1:3" s="99" customFormat="1" ht="12" customHeight="1" x14ac:dyDescent="0.2">
      <c r="A39" s="444" t="s">
        <v>85</v>
      </c>
      <c r="B39" s="425" t="s">
        <v>265</v>
      </c>
      <c r="C39" s="299"/>
    </row>
    <row r="40" spans="1:3" s="99" customFormat="1" ht="12" customHeight="1" x14ac:dyDescent="0.2">
      <c r="A40" s="445" t="s">
        <v>86</v>
      </c>
      <c r="B40" s="426" t="s">
        <v>266</v>
      </c>
      <c r="C40" s="298"/>
    </row>
    <row r="41" spans="1:3" s="99" customFormat="1" ht="12" customHeight="1" x14ac:dyDescent="0.2">
      <c r="A41" s="445" t="s">
        <v>87</v>
      </c>
      <c r="B41" s="426" t="s">
        <v>267</v>
      </c>
      <c r="C41" s="298"/>
    </row>
    <row r="42" spans="1:3" s="99" customFormat="1" ht="12" customHeight="1" x14ac:dyDescent="0.2">
      <c r="A42" s="445" t="s">
        <v>164</v>
      </c>
      <c r="B42" s="426" t="s">
        <v>268</v>
      </c>
      <c r="C42" s="298"/>
    </row>
    <row r="43" spans="1:3" s="99" customFormat="1" ht="12" customHeight="1" x14ac:dyDescent="0.2">
      <c r="A43" s="445" t="s">
        <v>165</v>
      </c>
      <c r="B43" s="426" t="s">
        <v>269</v>
      </c>
      <c r="C43" s="298"/>
    </row>
    <row r="44" spans="1:3" s="99" customFormat="1" ht="12" customHeight="1" x14ac:dyDescent="0.2">
      <c r="A44" s="445" t="s">
        <v>166</v>
      </c>
      <c r="B44" s="426" t="s">
        <v>270</v>
      </c>
      <c r="C44" s="298"/>
    </row>
    <row r="45" spans="1:3" s="99" customFormat="1" ht="12" customHeight="1" x14ac:dyDescent="0.2">
      <c r="A45" s="445" t="s">
        <v>167</v>
      </c>
      <c r="B45" s="426" t="s">
        <v>271</v>
      </c>
      <c r="C45" s="298"/>
    </row>
    <row r="46" spans="1:3" s="99" customFormat="1" ht="12" customHeight="1" x14ac:dyDescent="0.2">
      <c r="A46" s="445" t="s">
        <v>168</v>
      </c>
      <c r="B46" s="426" t="s">
        <v>547</v>
      </c>
      <c r="C46" s="298"/>
    </row>
    <row r="47" spans="1:3" s="99" customFormat="1" ht="12" customHeight="1" x14ac:dyDescent="0.2">
      <c r="A47" s="445" t="s">
        <v>263</v>
      </c>
      <c r="B47" s="426" t="s">
        <v>273</v>
      </c>
      <c r="C47" s="301"/>
    </row>
    <row r="48" spans="1:3" s="99" customFormat="1" ht="12" customHeight="1" x14ac:dyDescent="0.2">
      <c r="A48" s="446" t="s">
        <v>264</v>
      </c>
      <c r="B48" s="427" t="s">
        <v>428</v>
      </c>
      <c r="C48" s="411"/>
    </row>
    <row r="49" spans="1:3" s="99" customFormat="1" ht="12" customHeight="1" thickBot="1" x14ac:dyDescent="0.25">
      <c r="A49" s="446" t="s">
        <v>427</v>
      </c>
      <c r="B49" s="427" t="s">
        <v>274</v>
      </c>
      <c r="C49" s="411"/>
    </row>
    <row r="50" spans="1:3" s="99" customFormat="1" ht="12" customHeight="1" thickBot="1" x14ac:dyDescent="0.25">
      <c r="A50" s="33" t="s">
        <v>20</v>
      </c>
      <c r="B50" s="21" t="s">
        <v>275</v>
      </c>
      <c r="C50" s="296">
        <f>SUM(C51:C55)</f>
        <v>0</v>
      </c>
    </row>
    <row r="51" spans="1:3" s="99" customFormat="1" ht="12" customHeight="1" x14ac:dyDescent="0.2">
      <c r="A51" s="444" t="s">
        <v>88</v>
      </c>
      <c r="B51" s="425" t="s">
        <v>279</v>
      </c>
      <c r="C51" s="470"/>
    </row>
    <row r="52" spans="1:3" s="99" customFormat="1" ht="12" customHeight="1" x14ac:dyDescent="0.2">
      <c r="A52" s="445" t="s">
        <v>89</v>
      </c>
      <c r="B52" s="426" t="s">
        <v>280</v>
      </c>
      <c r="C52" s="301"/>
    </row>
    <row r="53" spans="1:3" s="99" customFormat="1" ht="12" customHeight="1" x14ac:dyDescent="0.2">
      <c r="A53" s="445" t="s">
        <v>276</v>
      </c>
      <c r="B53" s="426" t="s">
        <v>281</v>
      </c>
      <c r="C53" s="301"/>
    </row>
    <row r="54" spans="1:3" s="99" customFormat="1" ht="12" customHeight="1" x14ac:dyDescent="0.2">
      <c r="A54" s="445" t="s">
        <v>277</v>
      </c>
      <c r="B54" s="426" t="s">
        <v>282</v>
      </c>
      <c r="C54" s="301"/>
    </row>
    <row r="55" spans="1:3" s="99" customFormat="1" ht="12" customHeight="1" thickBot="1" x14ac:dyDescent="0.25">
      <c r="A55" s="446" t="s">
        <v>278</v>
      </c>
      <c r="B55" s="522" t="s">
        <v>283</v>
      </c>
      <c r="C55" s="411"/>
    </row>
    <row r="56" spans="1:3" s="99" customFormat="1" ht="12" customHeight="1" thickBot="1" x14ac:dyDescent="0.25">
      <c r="A56" s="33" t="s">
        <v>169</v>
      </c>
      <c r="B56" s="21" t="s">
        <v>284</v>
      </c>
      <c r="C56" s="296">
        <f>SUM(C57:C59)</f>
        <v>0</v>
      </c>
    </row>
    <row r="57" spans="1:3" s="99" customFormat="1" ht="12" customHeight="1" x14ac:dyDescent="0.2">
      <c r="A57" s="444" t="s">
        <v>90</v>
      </c>
      <c r="B57" s="425" t="s">
        <v>285</v>
      </c>
      <c r="C57" s="299"/>
    </row>
    <row r="58" spans="1:3" s="99" customFormat="1" ht="12" customHeight="1" x14ac:dyDescent="0.2">
      <c r="A58" s="445" t="s">
        <v>91</v>
      </c>
      <c r="B58" s="426" t="s">
        <v>418</v>
      </c>
      <c r="C58" s="298"/>
    </row>
    <row r="59" spans="1:3" s="99" customFormat="1" ht="12" customHeight="1" x14ac:dyDescent="0.2">
      <c r="A59" s="445" t="s">
        <v>288</v>
      </c>
      <c r="B59" s="426" t="s">
        <v>286</v>
      </c>
      <c r="C59" s="298"/>
    </row>
    <row r="60" spans="1:3" s="99" customFormat="1" ht="12" customHeight="1" thickBot="1" x14ac:dyDescent="0.25">
      <c r="A60" s="446" t="s">
        <v>289</v>
      </c>
      <c r="B60" s="522" t="s">
        <v>287</v>
      </c>
      <c r="C60" s="300"/>
    </row>
    <row r="61" spans="1:3" s="99" customFormat="1" ht="12" customHeight="1" thickBot="1" x14ac:dyDescent="0.25">
      <c r="A61" s="33" t="s">
        <v>22</v>
      </c>
      <c r="B61" s="291" t="s">
        <v>290</v>
      </c>
      <c r="C61" s="296">
        <f>SUM(C62:C64)</f>
        <v>0</v>
      </c>
    </row>
    <row r="62" spans="1:3" s="99" customFormat="1" ht="12" customHeight="1" x14ac:dyDescent="0.2">
      <c r="A62" s="444" t="s">
        <v>170</v>
      </c>
      <c r="B62" s="425" t="s">
        <v>292</v>
      </c>
      <c r="C62" s="301"/>
    </row>
    <row r="63" spans="1:3" s="99" customFormat="1" ht="12" customHeight="1" x14ac:dyDescent="0.2">
      <c r="A63" s="445" t="s">
        <v>171</v>
      </c>
      <c r="B63" s="426" t="s">
        <v>419</v>
      </c>
      <c r="C63" s="301"/>
    </row>
    <row r="64" spans="1:3" s="99" customFormat="1" ht="12" customHeight="1" x14ac:dyDescent="0.2">
      <c r="A64" s="445" t="s">
        <v>216</v>
      </c>
      <c r="B64" s="426" t="s">
        <v>293</v>
      </c>
      <c r="C64" s="301"/>
    </row>
    <row r="65" spans="1:3" s="99" customFormat="1" ht="12" customHeight="1" thickBot="1" x14ac:dyDescent="0.25">
      <c r="A65" s="446" t="s">
        <v>291</v>
      </c>
      <c r="B65" s="522" t="s">
        <v>294</v>
      </c>
      <c r="C65" s="301"/>
    </row>
    <row r="66" spans="1:3" s="99" customFormat="1" ht="12" customHeight="1" thickBot="1" x14ac:dyDescent="0.25">
      <c r="A66" s="33" t="s">
        <v>23</v>
      </c>
      <c r="B66" s="21" t="s">
        <v>295</v>
      </c>
      <c r="C66" s="302">
        <f>+C8+C15+C22+C29+C38+C50+C56+C61</f>
        <v>0</v>
      </c>
    </row>
    <row r="67" spans="1:3" s="99" customFormat="1" ht="12" customHeight="1" thickBot="1" x14ac:dyDescent="0.2">
      <c r="A67" s="447" t="s">
        <v>386</v>
      </c>
      <c r="B67" s="291" t="s">
        <v>297</v>
      </c>
      <c r="C67" s="296">
        <f>SUM(C68:C70)</f>
        <v>0</v>
      </c>
    </row>
    <row r="68" spans="1:3" s="99" customFormat="1" ht="12" customHeight="1" x14ac:dyDescent="0.2">
      <c r="A68" s="444" t="s">
        <v>328</v>
      </c>
      <c r="B68" s="425" t="s">
        <v>298</v>
      </c>
      <c r="C68" s="301"/>
    </row>
    <row r="69" spans="1:3" s="99" customFormat="1" ht="12" customHeight="1" x14ac:dyDescent="0.2">
      <c r="A69" s="445" t="s">
        <v>337</v>
      </c>
      <c r="B69" s="426" t="s">
        <v>299</v>
      </c>
      <c r="C69" s="301"/>
    </row>
    <row r="70" spans="1:3" s="99" customFormat="1" ht="12" customHeight="1" thickBot="1" x14ac:dyDescent="0.25">
      <c r="A70" s="446" t="s">
        <v>338</v>
      </c>
      <c r="B70" s="526" t="s">
        <v>300</v>
      </c>
      <c r="C70" s="301"/>
    </row>
    <row r="71" spans="1:3" s="99" customFormat="1" ht="12" customHeight="1" thickBot="1" x14ac:dyDescent="0.2">
      <c r="A71" s="447" t="s">
        <v>301</v>
      </c>
      <c r="B71" s="291" t="s">
        <v>302</v>
      </c>
      <c r="C71" s="296">
        <f>SUM(C72:C75)</f>
        <v>0</v>
      </c>
    </row>
    <row r="72" spans="1:3" s="99" customFormat="1" ht="12" customHeight="1" x14ac:dyDescent="0.2">
      <c r="A72" s="444" t="s">
        <v>142</v>
      </c>
      <c r="B72" s="425" t="s">
        <v>303</v>
      </c>
      <c r="C72" s="301"/>
    </row>
    <row r="73" spans="1:3" s="99" customFormat="1" ht="12" customHeight="1" x14ac:dyDescent="0.2">
      <c r="A73" s="445" t="s">
        <v>143</v>
      </c>
      <c r="B73" s="426" t="s">
        <v>304</v>
      </c>
      <c r="C73" s="301"/>
    </row>
    <row r="74" spans="1:3" s="99" customFormat="1" ht="12" customHeight="1" x14ac:dyDescent="0.2">
      <c r="A74" s="445" t="s">
        <v>329</v>
      </c>
      <c r="B74" s="426" t="s">
        <v>305</v>
      </c>
      <c r="C74" s="301"/>
    </row>
    <row r="75" spans="1:3" s="99" customFormat="1" ht="12" customHeight="1" thickBot="1" x14ac:dyDescent="0.25">
      <c r="A75" s="446" t="s">
        <v>330</v>
      </c>
      <c r="B75" s="427" t="s">
        <v>306</v>
      </c>
      <c r="C75" s="301"/>
    </row>
    <row r="76" spans="1:3" s="99" customFormat="1" ht="12" customHeight="1" thickBot="1" x14ac:dyDescent="0.2">
      <c r="A76" s="447" t="s">
        <v>307</v>
      </c>
      <c r="B76" s="291" t="s">
        <v>308</v>
      </c>
      <c r="C76" s="296">
        <f>SUM(C77:C78)</f>
        <v>0</v>
      </c>
    </row>
    <row r="77" spans="1:3" s="99" customFormat="1" ht="12" customHeight="1" x14ac:dyDescent="0.2">
      <c r="A77" s="444" t="s">
        <v>331</v>
      </c>
      <c r="B77" s="425" t="s">
        <v>309</v>
      </c>
      <c r="C77" s="301"/>
    </row>
    <row r="78" spans="1:3" s="99" customFormat="1" ht="12" customHeight="1" thickBot="1" x14ac:dyDescent="0.25">
      <c r="A78" s="446" t="s">
        <v>332</v>
      </c>
      <c r="B78" s="427" t="s">
        <v>310</v>
      </c>
      <c r="C78" s="301"/>
    </row>
    <row r="79" spans="1:3" s="98" customFormat="1" ht="12" customHeight="1" thickBot="1" x14ac:dyDescent="0.2">
      <c r="A79" s="447" t="s">
        <v>311</v>
      </c>
      <c r="B79" s="291" t="s">
        <v>312</v>
      </c>
      <c r="C79" s="296">
        <f>SUM(C80:C82)</f>
        <v>0</v>
      </c>
    </row>
    <row r="80" spans="1:3" s="99" customFormat="1" ht="12" customHeight="1" x14ac:dyDescent="0.2">
      <c r="A80" s="444" t="s">
        <v>333</v>
      </c>
      <c r="B80" s="425" t="s">
        <v>313</v>
      </c>
      <c r="C80" s="301"/>
    </row>
    <row r="81" spans="1:3" s="99" customFormat="1" ht="12" customHeight="1" x14ac:dyDescent="0.2">
      <c r="A81" s="445" t="s">
        <v>334</v>
      </c>
      <c r="B81" s="426" t="s">
        <v>314</v>
      </c>
      <c r="C81" s="301"/>
    </row>
    <row r="82" spans="1:3" s="99" customFormat="1" ht="12" customHeight="1" thickBot="1" x14ac:dyDescent="0.25">
      <c r="A82" s="446" t="s">
        <v>335</v>
      </c>
      <c r="B82" s="427" t="s">
        <v>315</v>
      </c>
      <c r="C82" s="301"/>
    </row>
    <row r="83" spans="1:3" s="99" customFormat="1" ht="12" customHeight="1" thickBot="1" x14ac:dyDescent="0.2">
      <c r="A83" s="447" t="s">
        <v>316</v>
      </c>
      <c r="B83" s="291" t="s">
        <v>336</v>
      </c>
      <c r="C83" s="296">
        <f>SUM(C84:C87)</f>
        <v>0</v>
      </c>
    </row>
    <row r="84" spans="1:3" s="99" customFormat="1" ht="12" customHeight="1" x14ac:dyDescent="0.2">
      <c r="A84" s="448" t="s">
        <v>317</v>
      </c>
      <c r="B84" s="425" t="s">
        <v>318</v>
      </c>
      <c r="C84" s="301"/>
    </row>
    <row r="85" spans="1:3" s="99" customFormat="1" ht="12" customHeight="1" x14ac:dyDescent="0.2">
      <c r="A85" s="449" t="s">
        <v>319</v>
      </c>
      <c r="B85" s="426" t="s">
        <v>320</v>
      </c>
      <c r="C85" s="301"/>
    </row>
    <row r="86" spans="1:3" s="99" customFormat="1" ht="12" customHeight="1" x14ac:dyDescent="0.2">
      <c r="A86" s="449" t="s">
        <v>321</v>
      </c>
      <c r="B86" s="426" t="s">
        <v>322</v>
      </c>
      <c r="C86" s="301"/>
    </row>
    <row r="87" spans="1:3" s="98" customFormat="1" ht="12" customHeight="1" thickBot="1" x14ac:dyDescent="0.25">
      <c r="A87" s="450" t="s">
        <v>323</v>
      </c>
      <c r="B87" s="427" t="s">
        <v>324</v>
      </c>
      <c r="C87" s="301"/>
    </row>
    <row r="88" spans="1:3" s="98" customFormat="1" ht="12" customHeight="1" thickBot="1" x14ac:dyDescent="0.2">
      <c r="A88" s="447" t="s">
        <v>325</v>
      </c>
      <c r="B88" s="291" t="s">
        <v>467</v>
      </c>
      <c r="C88" s="471"/>
    </row>
    <row r="89" spans="1:3" s="98" customFormat="1" ht="12" customHeight="1" thickBot="1" x14ac:dyDescent="0.2">
      <c r="A89" s="447" t="s">
        <v>494</v>
      </c>
      <c r="B89" s="291" t="s">
        <v>326</v>
      </c>
      <c r="C89" s="471"/>
    </row>
    <row r="90" spans="1:3" s="98" customFormat="1" ht="12" customHeight="1" thickBot="1" x14ac:dyDescent="0.2">
      <c r="A90" s="447" t="s">
        <v>495</v>
      </c>
      <c r="B90" s="432" t="s">
        <v>470</v>
      </c>
      <c r="C90" s="302">
        <f>+C67+C71+C76+C79+C83+C89+C88</f>
        <v>0</v>
      </c>
    </row>
    <row r="91" spans="1:3" s="98" customFormat="1" ht="12" customHeight="1" thickBot="1" x14ac:dyDescent="0.2">
      <c r="A91" s="451" t="s">
        <v>496</v>
      </c>
      <c r="B91" s="433" t="s">
        <v>497</v>
      </c>
      <c r="C91" s="302">
        <f>+C66+C90</f>
        <v>0</v>
      </c>
    </row>
    <row r="92" spans="1:3" s="99" customFormat="1" ht="15" customHeight="1" thickBot="1" x14ac:dyDescent="0.25">
      <c r="A92" s="249"/>
      <c r="B92" s="250"/>
      <c r="C92" s="366"/>
    </row>
    <row r="93" spans="1:3" s="72" customFormat="1" ht="16.5" customHeight="1" thickBot="1" x14ac:dyDescent="0.25">
      <c r="A93" s="253"/>
      <c r="B93" s="254" t="s">
        <v>54</v>
      </c>
      <c r="C93" s="368"/>
    </row>
    <row r="94" spans="1:3" s="100" customFormat="1" ht="12" customHeight="1" thickBot="1" x14ac:dyDescent="0.25">
      <c r="A94" s="417" t="s">
        <v>15</v>
      </c>
      <c r="B94" s="28" t="s">
        <v>501</v>
      </c>
      <c r="C94" s="295">
        <f>+C95+C96+C97+C98+C99+C112</f>
        <v>0</v>
      </c>
    </row>
    <row r="95" spans="1:3" ht="12" customHeight="1" x14ac:dyDescent="0.2">
      <c r="A95" s="452" t="s">
        <v>92</v>
      </c>
      <c r="B95" s="10" t="s">
        <v>46</v>
      </c>
      <c r="C95" s="297"/>
    </row>
    <row r="96" spans="1:3" ht="12" customHeight="1" x14ac:dyDescent="0.2">
      <c r="A96" s="445" t="s">
        <v>93</v>
      </c>
      <c r="B96" s="8" t="s">
        <v>172</v>
      </c>
      <c r="C96" s="298"/>
    </row>
    <row r="97" spans="1:3" ht="12" customHeight="1" x14ac:dyDescent="0.2">
      <c r="A97" s="445" t="s">
        <v>94</v>
      </c>
      <c r="B97" s="8" t="s">
        <v>134</v>
      </c>
      <c r="C97" s="300"/>
    </row>
    <row r="98" spans="1:3" ht="12" customHeight="1" x14ac:dyDescent="0.2">
      <c r="A98" s="445" t="s">
        <v>95</v>
      </c>
      <c r="B98" s="11" t="s">
        <v>173</v>
      </c>
      <c r="C98" s="300"/>
    </row>
    <row r="99" spans="1:3" ht="12" customHeight="1" x14ac:dyDescent="0.2">
      <c r="A99" s="445" t="s">
        <v>106</v>
      </c>
      <c r="B99" s="19" t="s">
        <v>174</v>
      </c>
      <c r="C99" s="300"/>
    </row>
    <row r="100" spans="1:3" ht="12" customHeight="1" x14ac:dyDescent="0.2">
      <c r="A100" s="445" t="s">
        <v>96</v>
      </c>
      <c r="B100" s="8" t="s">
        <v>498</v>
      </c>
      <c r="C100" s="300"/>
    </row>
    <row r="101" spans="1:3" ht="12" customHeight="1" x14ac:dyDescent="0.2">
      <c r="A101" s="445" t="s">
        <v>97</v>
      </c>
      <c r="B101" s="149" t="s">
        <v>433</v>
      </c>
      <c r="C101" s="300"/>
    </row>
    <row r="102" spans="1:3" ht="12" customHeight="1" x14ac:dyDescent="0.2">
      <c r="A102" s="445" t="s">
        <v>107</v>
      </c>
      <c r="B102" s="149" t="s">
        <v>432</v>
      </c>
      <c r="C102" s="300"/>
    </row>
    <row r="103" spans="1:3" ht="12" customHeight="1" x14ac:dyDescent="0.2">
      <c r="A103" s="445" t="s">
        <v>108</v>
      </c>
      <c r="B103" s="149" t="s">
        <v>342</v>
      </c>
      <c r="C103" s="300"/>
    </row>
    <row r="104" spans="1:3" ht="12" customHeight="1" x14ac:dyDescent="0.2">
      <c r="A104" s="445" t="s">
        <v>109</v>
      </c>
      <c r="B104" s="150" t="s">
        <v>343</v>
      </c>
      <c r="C104" s="300"/>
    </row>
    <row r="105" spans="1:3" ht="12" customHeight="1" x14ac:dyDescent="0.2">
      <c r="A105" s="445" t="s">
        <v>110</v>
      </c>
      <c r="B105" s="150" t="s">
        <v>344</v>
      </c>
      <c r="C105" s="300"/>
    </row>
    <row r="106" spans="1:3" ht="12" customHeight="1" x14ac:dyDescent="0.2">
      <c r="A106" s="445" t="s">
        <v>112</v>
      </c>
      <c r="B106" s="149" t="s">
        <v>345</v>
      </c>
      <c r="C106" s="300"/>
    </row>
    <row r="107" spans="1:3" ht="12" customHeight="1" x14ac:dyDescent="0.2">
      <c r="A107" s="445" t="s">
        <v>175</v>
      </c>
      <c r="B107" s="149" t="s">
        <v>346</v>
      </c>
      <c r="C107" s="300"/>
    </row>
    <row r="108" spans="1:3" ht="12" customHeight="1" x14ac:dyDescent="0.2">
      <c r="A108" s="445" t="s">
        <v>340</v>
      </c>
      <c r="B108" s="150" t="s">
        <v>347</v>
      </c>
      <c r="C108" s="300"/>
    </row>
    <row r="109" spans="1:3" ht="12" customHeight="1" x14ac:dyDescent="0.2">
      <c r="A109" s="453" t="s">
        <v>341</v>
      </c>
      <c r="B109" s="151" t="s">
        <v>348</v>
      </c>
      <c r="C109" s="300"/>
    </row>
    <row r="110" spans="1:3" ht="12" customHeight="1" x14ac:dyDescent="0.2">
      <c r="A110" s="445" t="s">
        <v>430</v>
      </c>
      <c r="B110" s="151" t="s">
        <v>349</v>
      </c>
      <c r="C110" s="300"/>
    </row>
    <row r="111" spans="1:3" ht="12" customHeight="1" x14ac:dyDescent="0.2">
      <c r="A111" s="445" t="s">
        <v>431</v>
      </c>
      <c r="B111" s="150" t="s">
        <v>350</v>
      </c>
      <c r="C111" s="298"/>
    </row>
    <row r="112" spans="1:3" ht="12" customHeight="1" x14ac:dyDescent="0.2">
      <c r="A112" s="445" t="s">
        <v>435</v>
      </c>
      <c r="B112" s="11" t="s">
        <v>47</v>
      </c>
      <c r="C112" s="298"/>
    </row>
    <row r="113" spans="1:3" ht="12" customHeight="1" x14ac:dyDescent="0.2">
      <c r="A113" s="446" t="s">
        <v>436</v>
      </c>
      <c r="B113" s="8" t="s">
        <v>499</v>
      </c>
      <c r="C113" s="300"/>
    </row>
    <row r="114" spans="1:3" ht="12" customHeight="1" thickBot="1" x14ac:dyDescent="0.25">
      <c r="A114" s="454" t="s">
        <v>437</v>
      </c>
      <c r="B114" s="152" t="s">
        <v>500</v>
      </c>
      <c r="C114" s="304"/>
    </row>
    <row r="115" spans="1:3" ht="12" customHeight="1" thickBot="1" x14ac:dyDescent="0.25">
      <c r="A115" s="33" t="s">
        <v>16</v>
      </c>
      <c r="B115" s="27" t="s">
        <v>351</v>
      </c>
      <c r="C115" s="296">
        <f>+C116+C118+C120</f>
        <v>0</v>
      </c>
    </row>
    <row r="116" spans="1:3" ht="12" customHeight="1" x14ac:dyDescent="0.2">
      <c r="A116" s="444" t="s">
        <v>98</v>
      </c>
      <c r="B116" s="8" t="s">
        <v>214</v>
      </c>
      <c r="C116" s="299"/>
    </row>
    <row r="117" spans="1:3" ht="12" customHeight="1" x14ac:dyDescent="0.2">
      <c r="A117" s="444" t="s">
        <v>99</v>
      </c>
      <c r="B117" s="12" t="s">
        <v>355</v>
      </c>
      <c r="C117" s="299"/>
    </row>
    <row r="118" spans="1:3" ht="12" customHeight="1" x14ac:dyDescent="0.2">
      <c r="A118" s="444" t="s">
        <v>100</v>
      </c>
      <c r="B118" s="12" t="s">
        <v>176</v>
      </c>
      <c r="C118" s="298"/>
    </row>
    <row r="119" spans="1:3" ht="12" customHeight="1" x14ac:dyDescent="0.2">
      <c r="A119" s="444" t="s">
        <v>101</v>
      </c>
      <c r="B119" s="12" t="s">
        <v>356</v>
      </c>
      <c r="C119" s="279"/>
    </row>
    <row r="120" spans="1:3" ht="12" customHeight="1" x14ac:dyDescent="0.2">
      <c r="A120" s="444" t="s">
        <v>102</v>
      </c>
      <c r="B120" s="293" t="s">
        <v>217</v>
      </c>
      <c r="C120" s="279"/>
    </row>
    <row r="121" spans="1:3" ht="12" customHeight="1" x14ac:dyDescent="0.2">
      <c r="A121" s="444" t="s">
        <v>111</v>
      </c>
      <c r="B121" s="292" t="s">
        <v>420</v>
      </c>
      <c r="C121" s="279"/>
    </row>
    <row r="122" spans="1:3" ht="12" customHeight="1" x14ac:dyDescent="0.2">
      <c r="A122" s="444" t="s">
        <v>113</v>
      </c>
      <c r="B122" s="421" t="s">
        <v>361</v>
      </c>
      <c r="C122" s="279"/>
    </row>
    <row r="123" spans="1:3" ht="12" customHeight="1" x14ac:dyDescent="0.2">
      <c r="A123" s="444" t="s">
        <v>177</v>
      </c>
      <c r="B123" s="150" t="s">
        <v>344</v>
      </c>
      <c r="C123" s="279"/>
    </row>
    <row r="124" spans="1:3" ht="12" customHeight="1" x14ac:dyDescent="0.2">
      <c r="A124" s="444" t="s">
        <v>178</v>
      </c>
      <c r="B124" s="150" t="s">
        <v>360</v>
      </c>
      <c r="C124" s="279"/>
    </row>
    <row r="125" spans="1:3" ht="12" customHeight="1" x14ac:dyDescent="0.2">
      <c r="A125" s="444" t="s">
        <v>179</v>
      </c>
      <c r="B125" s="150" t="s">
        <v>359</v>
      </c>
      <c r="C125" s="279"/>
    </row>
    <row r="126" spans="1:3" ht="12" customHeight="1" x14ac:dyDescent="0.2">
      <c r="A126" s="444" t="s">
        <v>352</v>
      </c>
      <c r="B126" s="150" t="s">
        <v>347</v>
      </c>
      <c r="C126" s="279"/>
    </row>
    <row r="127" spans="1:3" ht="12" customHeight="1" x14ac:dyDescent="0.2">
      <c r="A127" s="444" t="s">
        <v>353</v>
      </c>
      <c r="B127" s="150" t="s">
        <v>358</v>
      </c>
      <c r="C127" s="279"/>
    </row>
    <row r="128" spans="1:3" ht="12" customHeight="1" thickBot="1" x14ac:dyDescent="0.25">
      <c r="A128" s="453" t="s">
        <v>354</v>
      </c>
      <c r="B128" s="150" t="s">
        <v>357</v>
      </c>
      <c r="C128" s="281"/>
    </row>
    <row r="129" spans="1:11" ht="12" customHeight="1" thickBot="1" x14ac:dyDescent="0.25">
      <c r="A129" s="33" t="s">
        <v>17</v>
      </c>
      <c r="B129" s="132" t="s">
        <v>440</v>
      </c>
      <c r="C129" s="296">
        <f>+C94+C115</f>
        <v>0</v>
      </c>
    </row>
    <row r="130" spans="1:11" ht="12" customHeight="1" thickBot="1" x14ac:dyDescent="0.25">
      <c r="A130" s="33" t="s">
        <v>18</v>
      </c>
      <c r="B130" s="132" t="s">
        <v>441</v>
      </c>
      <c r="C130" s="296">
        <f>+C131+C132+C133</f>
        <v>0</v>
      </c>
    </row>
    <row r="131" spans="1:11" s="100" customFormat="1" ht="12" customHeight="1" x14ac:dyDescent="0.2">
      <c r="A131" s="444" t="s">
        <v>256</v>
      </c>
      <c r="B131" s="9" t="s">
        <v>504</v>
      </c>
      <c r="C131" s="279"/>
    </row>
    <row r="132" spans="1:11" ht="12" customHeight="1" x14ac:dyDescent="0.2">
      <c r="A132" s="444" t="s">
        <v>257</v>
      </c>
      <c r="B132" s="9" t="s">
        <v>449</v>
      </c>
      <c r="C132" s="279"/>
    </row>
    <row r="133" spans="1:11" ht="12" customHeight="1" thickBot="1" x14ac:dyDescent="0.25">
      <c r="A133" s="453" t="s">
        <v>258</v>
      </c>
      <c r="B133" s="7" t="s">
        <v>503</v>
      </c>
      <c r="C133" s="279"/>
    </row>
    <row r="134" spans="1:11" ht="12" customHeight="1" thickBot="1" x14ac:dyDescent="0.25">
      <c r="A134" s="33" t="s">
        <v>19</v>
      </c>
      <c r="B134" s="132" t="s">
        <v>442</v>
      </c>
      <c r="C134" s="296">
        <f>+C135+C136+C137+C138+C139+C140</f>
        <v>0</v>
      </c>
    </row>
    <row r="135" spans="1:11" ht="12" customHeight="1" x14ac:dyDescent="0.2">
      <c r="A135" s="444" t="s">
        <v>85</v>
      </c>
      <c r="B135" s="9" t="s">
        <v>451</v>
      </c>
      <c r="C135" s="279"/>
    </row>
    <row r="136" spans="1:11" ht="12" customHeight="1" x14ac:dyDescent="0.2">
      <c r="A136" s="444" t="s">
        <v>86</v>
      </c>
      <c r="B136" s="9" t="s">
        <v>443</v>
      </c>
      <c r="C136" s="279"/>
    </row>
    <row r="137" spans="1:11" ht="12" customHeight="1" x14ac:dyDescent="0.2">
      <c r="A137" s="444" t="s">
        <v>87</v>
      </c>
      <c r="B137" s="9" t="s">
        <v>444</v>
      </c>
      <c r="C137" s="279"/>
    </row>
    <row r="138" spans="1:11" ht="12" customHeight="1" x14ac:dyDescent="0.2">
      <c r="A138" s="444" t="s">
        <v>164</v>
      </c>
      <c r="B138" s="9" t="s">
        <v>502</v>
      </c>
      <c r="C138" s="279"/>
    </row>
    <row r="139" spans="1:11" ht="12" customHeight="1" x14ac:dyDescent="0.2">
      <c r="A139" s="444" t="s">
        <v>165</v>
      </c>
      <c r="B139" s="9" t="s">
        <v>446</v>
      </c>
      <c r="C139" s="279"/>
    </row>
    <row r="140" spans="1:11" s="100" customFormat="1" ht="12" customHeight="1" thickBot="1" x14ac:dyDescent="0.25">
      <c r="A140" s="453" t="s">
        <v>166</v>
      </c>
      <c r="B140" s="7" t="s">
        <v>447</v>
      </c>
      <c r="C140" s="279"/>
    </row>
    <row r="141" spans="1:11" ht="12" customHeight="1" thickBot="1" x14ac:dyDescent="0.25">
      <c r="A141" s="33" t="s">
        <v>20</v>
      </c>
      <c r="B141" s="132" t="s">
        <v>529</v>
      </c>
      <c r="C141" s="302">
        <f>+C142+C143+C145+C146+C144</f>
        <v>0</v>
      </c>
      <c r="K141" s="261"/>
    </row>
    <row r="142" spans="1:11" x14ac:dyDescent="0.2">
      <c r="A142" s="444" t="s">
        <v>88</v>
      </c>
      <c r="B142" s="9" t="s">
        <v>362</v>
      </c>
      <c r="C142" s="279"/>
    </row>
    <row r="143" spans="1:11" ht="12" customHeight="1" x14ac:dyDescent="0.2">
      <c r="A143" s="444" t="s">
        <v>89</v>
      </c>
      <c r="B143" s="9" t="s">
        <v>363</v>
      </c>
      <c r="C143" s="279"/>
    </row>
    <row r="144" spans="1:11" s="100" customFormat="1" ht="12" customHeight="1" x14ac:dyDescent="0.2">
      <c r="A144" s="444" t="s">
        <v>276</v>
      </c>
      <c r="B144" s="9" t="s">
        <v>528</v>
      </c>
      <c r="C144" s="279"/>
    </row>
    <row r="145" spans="1:3" s="100" customFormat="1" ht="12" customHeight="1" x14ac:dyDescent="0.2">
      <c r="A145" s="444" t="s">
        <v>277</v>
      </c>
      <c r="B145" s="9" t="s">
        <v>456</v>
      </c>
      <c r="C145" s="279"/>
    </row>
    <row r="146" spans="1:3" s="100" customFormat="1" ht="12" customHeight="1" thickBot="1" x14ac:dyDescent="0.25">
      <c r="A146" s="453" t="s">
        <v>278</v>
      </c>
      <c r="B146" s="7" t="s">
        <v>382</v>
      </c>
      <c r="C146" s="279"/>
    </row>
    <row r="147" spans="1:3" s="100" customFormat="1" ht="12" customHeight="1" thickBot="1" x14ac:dyDescent="0.25">
      <c r="A147" s="33" t="s">
        <v>21</v>
      </c>
      <c r="B147" s="132" t="s">
        <v>457</v>
      </c>
      <c r="C147" s="305">
        <f>+C148+C149+C150+C151+C152</f>
        <v>0</v>
      </c>
    </row>
    <row r="148" spans="1:3" s="100" customFormat="1" ht="12" customHeight="1" x14ac:dyDescent="0.2">
      <c r="A148" s="444" t="s">
        <v>90</v>
      </c>
      <c r="B148" s="9" t="s">
        <v>452</v>
      </c>
      <c r="C148" s="279"/>
    </row>
    <row r="149" spans="1:3" s="100" customFormat="1" ht="12" customHeight="1" x14ac:dyDescent="0.2">
      <c r="A149" s="444" t="s">
        <v>91</v>
      </c>
      <c r="B149" s="9" t="s">
        <v>459</v>
      </c>
      <c r="C149" s="279"/>
    </row>
    <row r="150" spans="1:3" s="100" customFormat="1" ht="12" customHeight="1" x14ac:dyDescent="0.2">
      <c r="A150" s="444" t="s">
        <v>288</v>
      </c>
      <c r="B150" s="9" t="s">
        <v>454</v>
      </c>
      <c r="C150" s="279"/>
    </row>
    <row r="151" spans="1:3" ht="12.75" customHeight="1" x14ac:dyDescent="0.2">
      <c r="A151" s="444" t="s">
        <v>289</v>
      </c>
      <c r="B151" s="9" t="s">
        <v>505</v>
      </c>
      <c r="C151" s="279"/>
    </row>
    <row r="152" spans="1:3" ht="12.75" customHeight="1" thickBot="1" x14ac:dyDescent="0.25">
      <c r="A152" s="453" t="s">
        <v>458</v>
      </c>
      <c r="B152" s="7" t="s">
        <v>461</v>
      </c>
      <c r="C152" s="281"/>
    </row>
    <row r="153" spans="1:3" ht="12.75" customHeight="1" thickBot="1" x14ac:dyDescent="0.25">
      <c r="A153" s="497" t="s">
        <v>22</v>
      </c>
      <c r="B153" s="132" t="s">
        <v>462</v>
      </c>
      <c r="C153" s="305"/>
    </row>
    <row r="154" spans="1:3" ht="12" customHeight="1" thickBot="1" x14ac:dyDescent="0.25">
      <c r="A154" s="497" t="s">
        <v>23</v>
      </c>
      <c r="B154" s="132" t="s">
        <v>463</v>
      </c>
      <c r="C154" s="305"/>
    </row>
    <row r="155" spans="1:3" ht="15" customHeight="1" thickBot="1" x14ac:dyDescent="0.25">
      <c r="A155" s="33" t="s">
        <v>24</v>
      </c>
      <c r="B155" s="132" t="s">
        <v>465</v>
      </c>
      <c r="C155" s="435">
        <f>+C130+C134+C141+C147+C153+C154</f>
        <v>0</v>
      </c>
    </row>
    <row r="156" spans="1:3" ht="13.5" thickBot="1" x14ac:dyDescent="0.25">
      <c r="A156" s="455" t="s">
        <v>25</v>
      </c>
      <c r="B156" s="387" t="s">
        <v>464</v>
      </c>
      <c r="C156" s="435">
        <f>+C129+C155</f>
        <v>0</v>
      </c>
    </row>
    <row r="157" spans="1:3" ht="15" customHeight="1" thickBot="1" x14ac:dyDescent="0.25">
      <c r="A157" s="395"/>
      <c r="B157" s="396"/>
      <c r="C157" s="397"/>
    </row>
    <row r="158" spans="1:3" ht="14.25" customHeight="1" thickBot="1" x14ac:dyDescent="0.25">
      <c r="A158" s="258" t="s">
        <v>506</v>
      </c>
      <c r="B158" s="259"/>
      <c r="C158" s="129"/>
    </row>
    <row r="159" spans="1:3" ht="13.5" thickBot="1" x14ac:dyDescent="0.25">
      <c r="A159" s="258" t="s">
        <v>195</v>
      </c>
      <c r="B159" s="259"/>
      <c r="C159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8" sqref="C8:C58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 melléklet a …./",LEFT(ÖSSZEFÜGGÉSEK!A5,4),". (…...) önkormányzati rendelethez")</f>
        <v>9.2.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317500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f>'9.2.1. sz. mell HIV'!C9+'9.2.2. sz.  mell HIV'!C9+'9.2.3. sz. mell HIV'!C9</f>
        <v>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f>'9.2.1. sz. mell HIV'!C10+'9.2.2. sz.  mell HIV'!C10+'9.2.3. sz. mell HIV'!C10</f>
        <v>250000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f>'9.2.1. sz. mell HIV'!C11+'9.2.2. sz.  mell HIV'!C11+'9.2.3. sz. mell HIV'!C11</f>
        <v>0</v>
      </c>
    </row>
    <row r="12" spans="1:3" s="373" customFormat="1" ht="12" customHeight="1" x14ac:dyDescent="0.2">
      <c r="A12" s="460" t="s">
        <v>95</v>
      </c>
      <c r="B12" s="8" t="s">
        <v>268</v>
      </c>
      <c r="C12" s="314">
        <f>'9.2.1. sz. mell HIV'!C12+'9.2.2. sz.  mell HIV'!C12+'9.2.3. sz. mell HIV'!C12</f>
        <v>0</v>
      </c>
    </row>
    <row r="13" spans="1:3" s="373" customFormat="1" ht="12" customHeight="1" x14ac:dyDescent="0.2">
      <c r="A13" s="460" t="s">
        <v>141</v>
      </c>
      <c r="B13" s="8" t="s">
        <v>269</v>
      </c>
      <c r="C13" s="314">
        <f>'9.2.1. sz. mell HIV'!C13+'9.2.2. sz.  mell HIV'!C13+'9.2.3. sz. mell HIV'!C13</f>
        <v>0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f>'9.2.1. sz. mell HIV'!C14+'9.2.2. sz.  mell HIV'!C14+'9.2.3. sz. mell HIV'!C14</f>
        <v>67500</v>
      </c>
    </row>
    <row r="15" spans="1:3" s="373" customFormat="1" ht="12" customHeight="1" x14ac:dyDescent="0.2">
      <c r="A15" s="460" t="s">
        <v>97</v>
      </c>
      <c r="B15" s="7" t="s">
        <v>392</v>
      </c>
      <c r="C15" s="314">
        <f>'9.2.1. sz. mell HIV'!C15+'9.2.2. sz.  mell HIV'!C15+'9.2.3. sz. mell HIV'!C15</f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14">
        <f>'9.2.1. sz. mell HIV'!C16+'9.2.2. sz.  mell HIV'!C16+'9.2.3. sz. mell HIV'!C16</f>
        <v>0</v>
      </c>
    </row>
    <row r="17" spans="1:3" s="468" customFormat="1" ht="12" customHeight="1" x14ac:dyDescent="0.2">
      <c r="A17" s="460" t="s">
        <v>108</v>
      </c>
      <c r="B17" s="8" t="s">
        <v>273</v>
      </c>
      <c r="C17" s="314">
        <f>'9.2.1. sz. mell HIV'!C17+'9.2.2. sz.  mell HIV'!C17+'9.2.3. sz. mell HIV'!C17</f>
        <v>0</v>
      </c>
    </row>
    <row r="18" spans="1:3" s="468" customFormat="1" ht="12" customHeight="1" x14ac:dyDescent="0.2">
      <c r="A18" s="460" t="s">
        <v>109</v>
      </c>
      <c r="B18" s="8" t="s">
        <v>428</v>
      </c>
      <c r="C18" s="314">
        <f>'9.2.1. sz. mell HIV'!C18+'9.2.2. sz.  mell HIV'!C18+'9.2.3. sz. mell HIV'!C18</f>
        <v>0</v>
      </c>
    </row>
    <row r="19" spans="1:3" s="468" customFormat="1" ht="12" customHeight="1" thickBot="1" x14ac:dyDescent="0.25">
      <c r="A19" s="460" t="s">
        <v>110</v>
      </c>
      <c r="B19" s="7" t="s">
        <v>274</v>
      </c>
      <c r="C19" s="313">
        <f>'9.2.1. sz. mell HIV'!C19+'9.2.2. sz.  mell HIV'!C19+'9.2.3. sz. mell HIV'!C19</f>
        <v>0</v>
      </c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3299135</v>
      </c>
    </row>
    <row r="21" spans="1:3" s="468" customFormat="1" ht="12" customHeight="1" x14ac:dyDescent="0.2">
      <c r="A21" s="460" t="s">
        <v>98</v>
      </c>
      <c r="B21" s="9" t="s">
        <v>246</v>
      </c>
      <c r="C21" s="314">
        <f>'9.2.1. sz. mell HIV'!C21+'9.2.2. sz.  mell HIV'!C21+'9.2.3. sz. mell HIV'!C21</f>
        <v>0</v>
      </c>
    </row>
    <row r="22" spans="1:3" s="468" customFormat="1" ht="12" customHeight="1" x14ac:dyDescent="0.2">
      <c r="A22" s="460" t="s">
        <v>99</v>
      </c>
      <c r="B22" s="8" t="s">
        <v>394</v>
      </c>
      <c r="C22" s="314">
        <f>'9.2.1. sz. mell HIV'!C22+'9.2.2. sz.  mell HIV'!C22+'9.2.3. sz. mell HIV'!C22</f>
        <v>0</v>
      </c>
    </row>
    <row r="23" spans="1:3" s="468" customFormat="1" ht="12" customHeight="1" x14ac:dyDescent="0.2">
      <c r="A23" s="460" t="s">
        <v>100</v>
      </c>
      <c r="B23" s="8" t="s">
        <v>395</v>
      </c>
      <c r="C23" s="314">
        <f>'9.2.1. sz. mell HIV'!C23+'9.2.2. sz.  mell HIV'!C23+'9.2.3. sz. mell HIV'!C23</f>
        <v>3299135</v>
      </c>
    </row>
    <row r="24" spans="1:3" s="468" customFormat="1" ht="12" customHeight="1" thickBot="1" x14ac:dyDescent="0.25">
      <c r="A24" s="531" t="s">
        <v>101</v>
      </c>
      <c r="B24" s="12" t="s">
        <v>508</v>
      </c>
      <c r="C24" s="315">
        <f>'9.2.1. sz. mell HIV'!C24+'9.2.2. sz.  mell HIV'!C24+'9.2.3. sz. mell HIV'!C24</f>
        <v>0</v>
      </c>
    </row>
    <row r="25" spans="1:3" s="468" customFormat="1" ht="12" customHeight="1" thickBot="1" x14ac:dyDescent="0.25">
      <c r="A25" s="212" t="s">
        <v>17</v>
      </c>
      <c r="B25" s="529" t="s">
        <v>163</v>
      </c>
      <c r="C25" s="534">
        <f>'9.2.1. sz. mell HIV'!C25+'9.2.2. sz.  mell HIV'!C25+'9.2.3. sz. mell HIV'!C25</f>
        <v>50000</v>
      </c>
    </row>
    <row r="26" spans="1:3" s="468" customFormat="1" ht="12" customHeight="1" thickBot="1" x14ac:dyDescent="0.25">
      <c r="A26" s="532" t="s">
        <v>18</v>
      </c>
      <c r="B26" s="533" t="s">
        <v>509</v>
      </c>
      <c r="C26" s="530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>
        <f>'9.2.1. sz. mell HIV'!C27+'9.2.2. sz.  mell HIV'!C27+'9.2.3. sz. mell HIV'!C27</f>
        <v>0</v>
      </c>
    </row>
    <row r="28" spans="1:3" s="468" customFormat="1" ht="12" customHeight="1" x14ac:dyDescent="0.2">
      <c r="A28" s="461" t="s">
        <v>257</v>
      </c>
      <c r="B28" s="462" t="s">
        <v>394</v>
      </c>
      <c r="C28" s="77">
        <f>'9.2.1. sz. mell HIV'!C28+'9.2.2. sz.  mell HIV'!C28+'9.2.3. sz. mell HIV'!C28</f>
        <v>0</v>
      </c>
    </row>
    <row r="29" spans="1:3" s="468" customFormat="1" ht="12" customHeight="1" x14ac:dyDescent="0.2">
      <c r="A29" s="461" t="s">
        <v>258</v>
      </c>
      <c r="B29" s="463" t="s">
        <v>397</v>
      </c>
      <c r="C29" s="77">
        <f>'9.2.1. sz. mell HIV'!C29+'9.2.2. sz.  mell HIV'!C29+'9.2.3. sz. mell HIV'!C29</f>
        <v>0</v>
      </c>
    </row>
    <row r="30" spans="1:3" s="468" customFormat="1" ht="12" customHeight="1" thickBot="1" x14ac:dyDescent="0.25">
      <c r="A30" s="460" t="s">
        <v>259</v>
      </c>
      <c r="B30" s="148" t="s">
        <v>510</v>
      </c>
      <c r="C30" s="77">
        <f>'9.2.1. sz. mell HIV'!C30+'9.2.2. sz.  mell HIV'!C30+'9.2.3. sz. mell HIV'!C30</f>
        <v>0</v>
      </c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>
        <f>'9.2.1. sz. mell HIV'!C32+'9.2.2. sz.  mell HIV'!C32+'9.2.3. sz. mell HIV'!C32</f>
        <v>0</v>
      </c>
    </row>
    <row r="33" spans="1:3" s="468" customFormat="1" ht="12" customHeight="1" x14ac:dyDescent="0.2">
      <c r="A33" s="461" t="s">
        <v>86</v>
      </c>
      <c r="B33" s="463" t="s">
        <v>280</v>
      </c>
      <c r="C33" s="77">
        <f>'9.2.1. sz. mell HIV'!C33+'9.2.2. sz.  mell HIV'!C33+'9.2.3. sz. mell HIV'!C33</f>
        <v>0</v>
      </c>
    </row>
    <row r="34" spans="1:3" s="468" customFormat="1" ht="12" customHeight="1" thickBot="1" x14ac:dyDescent="0.25">
      <c r="A34" s="460" t="s">
        <v>87</v>
      </c>
      <c r="B34" s="148" t="s">
        <v>281</v>
      </c>
      <c r="C34" s="77">
        <f>'9.2.1. sz. mell HIV'!C34+'9.2.2. sz.  mell HIV'!C34+'9.2.3. sz. mell HIV'!C34</f>
        <v>0</v>
      </c>
    </row>
    <row r="35" spans="1:3" s="373" customFormat="1" ht="12" customHeight="1" thickBot="1" x14ac:dyDescent="0.25">
      <c r="A35" s="212" t="s">
        <v>20</v>
      </c>
      <c r="B35" s="132" t="s">
        <v>367</v>
      </c>
      <c r="C35" s="343">
        <f>'9.2.1. sz. mell HIV'!C35+'9.2.2. sz.  mell HIV'!C35+'9.2.3. sz. mell HIV'!C35</f>
        <v>0</v>
      </c>
    </row>
    <row r="36" spans="1:3" s="373" customFormat="1" ht="12" customHeight="1" thickBot="1" x14ac:dyDescent="0.25">
      <c r="A36" s="212" t="s">
        <v>21</v>
      </c>
      <c r="B36" s="132" t="s">
        <v>399</v>
      </c>
      <c r="C36" s="343">
        <f>'9.2.1. sz. mell HIV'!C36+'9.2.2. sz.  mell HIV'!C36+'9.2.3. sz. mell HIV'!C36</f>
        <v>0</v>
      </c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3666635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117130357</v>
      </c>
    </row>
    <row r="39" spans="1:3" s="373" customFormat="1" ht="12" customHeight="1" x14ac:dyDescent="0.2">
      <c r="A39" s="461" t="s">
        <v>402</v>
      </c>
      <c r="B39" s="462" t="s">
        <v>224</v>
      </c>
      <c r="C39" s="77">
        <f>'9.2.1. sz. mell HIV'!C39+'9.2.2. sz.  mell HIV'!C39+'9.2.3. sz. mell HIV'!C39</f>
        <v>271282</v>
      </c>
    </row>
    <row r="40" spans="1:3" s="373" customFormat="1" ht="12" customHeight="1" x14ac:dyDescent="0.2">
      <c r="A40" s="461" t="s">
        <v>403</v>
      </c>
      <c r="B40" s="463" t="s">
        <v>2</v>
      </c>
      <c r="C40" s="77">
        <f>'9.2.1. sz. mell HIV'!C40+'9.2.2. sz.  mell HIV'!C40+'9.2.3. sz. mell HIV'!C40</f>
        <v>0</v>
      </c>
    </row>
    <row r="41" spans="1:3" s="468" customFormat="1" ht="12" customHeight="1" thickBot="1" x14ac:dyDescent="0.25">
      <c r="A41" s="460" t="s">
        <v>404</v>
      </c>
      <c r="B41" s="148" t="s">
        <v>405</v>
      </c>
      <c r="C41" s="84">
        <f>'9.2.1. sz. mell HIV'!C41+'9.2.2. sz.  mell HIV'!C41+'9.2.3. sz. mell HIV'!C41</f>
        <v>116859075</v>
      </c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120796992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120796992</v>
      </c>
    </row>
    <row r="47" spans="1:3" ht="12" customHeight="1" x14ac:dyDescent="0.2">
      <c r="A47" s="460" t="s">
        <v>92</v>
      </c>
      <c r="B47" s="9" t="s">
        <v>46</v>
      </c>
      <c r="C47" s="77">
        <f>'9.2.1. sz. mell HIV'!C47+'9.2.2. sz.  mell HIV'!C47+'9.2.3. sz. mell HIV'!C47</f>
        <v>91166878</v>
      </c>
    </row>
    <row r="48" spans="1:3" ht="12" customHeight="1" x14ac:dyDescent="0.2">
      <c r="A48" s="460" t="s">
        <v>93</v>
      </c>
      <c r="B48" s="8" t="s">
        <v>172</v>
      </c>
      <c r="C48" s="77">
        <f>'9.2.1. sz. mell HIV'!C48+'9.2.2. sz.  mell HIV'!C48+'9.2.3. sz. mell HIV'!C48</f>
        <v>18963800</v>
      </c>
    </row>
    <row r="49" spans="1:3" ht="12" customHeight="1" x14ac:dyDescent="0.2">
      <c r="A49" s="460" t="s">
        <v>94</v>
      </c>
      <c r="B49" s="8" t="s">
        <v>134</v>
      </c>
      <c r="C49" s="77">
        <f>'9.2.1. sz. mell HIV'!C49+'9.2.2. sz.  mell HIV'!C49+'9.2.3. sz. mell HIV'!C49</f>
        <v>10666314</v>
      </c>
    </row>
    <row r="50" spans="1:3" ht="12" customHeight="1" x14ac:dyDescent="0.2">
      <c r="A50" s="460" t="s">
        <v>95</v>
      </c>
      <c r="B50" s="8" t="s">
        <v>173</v>
      </c>
      <c r="C50" s="77">
        <f>'9.2.1. sz. mell HIV'!C50+'9.2.2. sz.  mell HIV'!C50+'9.2.3. sz. mell HIV'!C50</f>
        <v>0</v>
      </c>
    </row>
    <row r="51" spans="1:3" ht="12" customHeight="1" thickBot="1" x14ac:dyDescent="0.25">
      <c r="A51" s="460" t="s">
        <v>141</v>
      </c>
      <c r="B51" s="8" t="s">
        <v>174</v>
      </c>
      <c r="C51" s="77">
        <f>'9.2.1. sz. mell HIV'!C51+'9.2.2. sz.  mell HIV'!C51+'9.2.3. sz. mell HIV'!C51</f>
        <v>0</v>
      </c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0</v>
      </c>
    </row>
    <row r="53" spans="1:3" s="469" customFormat="1" ht="12" customHeight="1" x14ac:dyDescent="0.2">
      <c r="A53" s="460" t="s">
        <v>98</v>
      </c>
      <c r="B53" s="9" t="s">
        <v>214</v>
      </c>
      <c r="C53" s="77">
        <f>'9.2.1. sz. mell HIV'!C53+'9.2.2. sz.  mell HIV'!C53+'9.2.3. sz. mell HIV'!C53</f>
        <v>0</v>
      </c>
    </row>
    <row r="54" spans="1:3" ht="12" customHeight="1" x14ac:dyDescent="0.2">
      <c r="A54" s="460" t="s">
        <v>99</v>
      </c>
      <c r="B54" s="8" t="s">
        <v>176</v>
      </c>
      <c r="C54" s="77">
        <f>'9.2.1. sz. mell HIV'!C54+'9.2.2. sz.  mell HIV'!C54+'9.2.3. sz. mell HIV'!C54</f>
        <v>0</v>
      </c>
    </row>
    <row r="55" spans="1:3" ht="12" customHeight="1" x14ac:dyDescent="0.2">
      <c r="A55" s="460" t="s">
        <v>100</v>
      </c>
      <c r="B55" s="8" t="s">
        <v>55</v>
      </c>
      <c r="C55" s="77">
        <f>'9.2.1. sz. mell HIV'!C55+'9.2.2. sz.  mell HIV'!C55+'9.2.3. sz. mell HIV'!C55</f>
        <v>0</v>
      </c>
    </row>
    <row r="56" spans="1:3" ht="12" customHeight="1" thickBot="1" x14ac:dyDescent="0.25">
      <c r="A56" s="460" t="s">
        <v>101</v>
      </c>
      <c r="B56" s="8" t="s">
        <v>511</v>
      </c>
      <c r="C56" s="77">
        <f>'9.2.1. sz. mell HIV'!C56+'9.2.2. sz.  mell HIV'!C56+'9.2.3. sz. mell HIV'!C56</f>
        <v>0</v>
      </c>
    </row>
    <row r="57" spans="1:3" ht="12" customHeight="1" thickBot="1" x14ac:dyDescent="0.25">
      <c r="A57" s="212" t="s">
        <v>17</v>
      </c>
      <c r="B57" s="132" t="s">
        <v>9</v>
      </c>
      <c r="C57" s="343"/>
    </row>
    <row r="58" spans="1:3" ht="15" customHeight="1" thickBot="1" x14ac:dyDescent="0.25">
      <c r="A58" s="212" t="s">
        <v>18</v>
      </c>
      <c r="B58" s="255" t="s">
        <v>517</v>
      </c>
      <c r="C58" s="369">
        <f>+C46+C52+C57</f>
        <v>120796992</v>
      </c>
    </row>
    <row r="59" spans="1:3" ht="13.5" thickBot="1" x14ac:dyDescent="0.25">
      <c r="C59" s="370"/>
    </row>
    <row r="60" spans="1:3" ht="15" customHeight="1" thickBot="1" x14ac:dyDescent="0.25">
      <c r="A60" s="258" t="s">
        <v>506</v>
      </c>
      <c r="B60" s="259"/>
      <c r="C60" s="129">
        <f>'9.2.1. sz. mell HIV'!C60+'9.2.2. sz.  mell HIV'!C60+'9.2.3. sz. mell HIV'!C60</f>
        <v>24</v>
      </c>
    </row>
    <row r="61" spans="1:3" ht="14.25" customHeight="1" thickBot="1" x14ac:dyDescent="0.25">
      <c r="A61" s="258" t="s">
        <v>195</v>
      </c>
      <c r="B61" s="259"/>
      <c r="C61" s="129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rgb="FF92D050"/>
  </sheetPr>
  <dimension ref="A1:I160"/>
  <sheetViews>
    <sheetView view="pageLayout" topLeftCell="A110" zoomScaleNormal="130" zoomScaleSheetLayoutView="100" workbookViewId="0">
      <selection activeCell="C94" sqref="C94:C155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5" t="s">
        <v>12</v>
      </c>
      <c r="B1" s="675"/>
      <c r="C1" s="675"/>
    </row>
    <row r="2" spans="1:3" ht="15.95" customHeight="1" thickBot="1" x14ac:dyDescent="0.3">
      <c r="A2" s="676" t="s">
        <v>145</v>
      </c>
      <c r="B2" s="676"/>
      <c r="C2" s="306" t="s">
        <v>563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2019.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+C6+C7+C8+C9+C10+C11</f>
        <v>494605474</v>
      </c>
    </row>
    <row r="6" spans="1:3" s="424" customFormat="1" ht="12" customHeight="1" x14ac:dyDescent="0.2">
      <c r="A6" s="15" t="s">
        <v>92</v>
      </c>
      <c r="B6" s="425" t="s">
        <v>241</v>
      </c>
      <c r="C6" s="299">
        <f>'9.1. sz. mell ÖNK'!C9</f>
        <v>205364731</v>
      </c>
    </row>
    <row r="7" spans="1:3" s="424" customFormat="1" ht="12" customHeight="1" x14ac:dyDescent="0.2">
      <c r="A7" s="14" t="s">
        <v>93</v>
      </c>
      <c r="B7" s="426" t="s">
        <v>242</v>
      </c>
      <c r="C7" s="299">
        <f>'9.1. sz. mell ÖNK'!C10</f>
        <v>67194367</v>
      </c>
    </row>
    <row r="8" spans="1:3" s="424" customFormat="1" ht="12" customHeight="1" x14ac:dyDescent="0.2">
      <c r="A8" s="14" t="s">
        <v>94</v>
      </c>
      <c r="B8" s="426" t="s">
        <v>538</v>
      </c>
      <c r="C8" s="299">
        <f>'9.1. sz. mell ÖNK'!C11</f>
        <v>179020908</v>
      </c>
    </row>
    <row r="9" spans="1:3" s="424" customFormat="1" ht="12" customHeight="1" x14ac:dyDescent="0.2">
      <c r="A9" s="14" t="s">
        <v>95</v>
      </c>
      <c r="B9" s="426" t="s">
        <v>244</v>
      </c>
      <c r="C9" s="299">
        <f>'9.1. sz. mell ÖNK'!C12</f>
        <v>8433700</v>
      </c>
    </row>
    <row r="10" spans="1:3" s="424" customFormat="1" ht="12" customHeight="1" x14ac:dyDescent="0.2">
      <c r="A10" s="14" t="s">
        <v>141</v>
      </c>
      <c r="B10" s="292" t="s">
        <v>424</v>
      </c>
      <c r="C10" s="299">
        <f>'9.1. sz. mell ÖNK'!C13</f>
        <v>34591768</v>
      </c>
    </row>
    <row r="11" spans="1:3" s="424" customFormat="1" ht="12" customHeight="1" thickBot="1" x14ac:dyDescent="0.25">
      <c r="A11" s="16" t="s">
        <v>96</v>
      </c>
      <c r="B11" s="293" t="s">
        <v>425</v>
      </c>
      <c r="C11" s="299">
        <f>'9.1. sz. mell ÖNK'!C14</f>
        <v>0</v>
      </c>
    </row>
    <row r="12" spans="1:3" s="424" customFormat="1" ht="12" customHeight="1" thickBot="1" x14ac:dyDescent="0.25">
      <c r="A12" s="20" t="s">
        <v>16</v>
      </c>
      <c r="B12" s="291" t="s">
        <v>245</v>
      </c>
      <c r="C12" s="296">
        <f>+C13+C14+C15+C16+C17</f>
        <v>162530502</v>
      </c>
    </row>
    <row r="13" spans="1:3" s="424" customFormat="1" ht="12" customHeight="1" x14ac:dyDescent="0.2">
      <c r="A13" s="15" t="s">
        <v>98</v>
      </c>
      <c r="B13" s="425" t="s">
        <v>246</v>
      </c>
      <c r="C13" s="299">
        <f>'9.1. sz. mell ÖNK'!C16</f>
        <v>0</v>
      </c>
    </row>
    <row r="14" spans="1:3" s="424" customFormat="1" ht="12" customHeight="1" x14ac:dyDescent="0.2">
      <c r="A14" s="14" t="s">
        <v>99</v>
      </c>
      <c r="B14" s="426" t="s">
        <v>247</v>
      </c>
      <c r="C14" s="299">
        <f>'9.1. sz. mell ÖNK'!C17</f>
        <v>0</v>
      </c>
    </row>
    <row r="15" spans="1:3" s="424" customFormat="1" ht="12" customHeight="1" x14ac:dyDescent="0.2">
      <c r="A15" s="14" t="s">
        <v>100</v>
      </c>
      <c r="B15" s="426" t="s">
        <v>414</v>
      </c>
      <c r="C15" s="299">
        <f>'9.1. sz. mell ÖNK'!C18</f>
        <v>0</v>
      </c>
    </row>
    <row r="16" spans="1:3" s="424" customFormat="1" ht="12" customHeight="1" x14ac:dyDescent="0.2">
      <c r="A16" s="14" t="s">
        <v>101</v>
      </c>
      <c r="B16" s="426" t="s">
        <v>415</v>
      </c>
      <c r="C16" s="299">
        <f>'9.1. sz. mell ÖNK'!C19</f>
        <v>0</v>
      </c>
    </row>
    <row r="17" spans="1:3" s="424" customFormat="1" ht="12" customHeight="1" x14ac:dyDescent="0.2">
      <c r="A17" s="14" t="s">
        <v>102</v>
      </c>
      <c r="B17" s="426" t="s">
        <v>248</v>
      </c>
      <c r="C17" s="299">
        <f>'9.1. sz. mell ÖNK'!C20+'9.4. sz. mell ILMKS'!C23+'9.3. sz. mell GAM'!C23+'9.2. sz. mell HIV'!C23</f>
        <v>162530502</v>
      </c>
    </row>
    <row r="18" spans="1:3" s="424" customFormat="1" ht="12" customHeight="1" thickBot="1" x14ac:dyDescent="0.25">
      <c r="A18" s="16" t="s">
        <v>111</v>
      </c>
      <c r="B18" s="293" t="s">
        <v>249</v>
      </c>
      <c r="C18" s="299">
        <f>'9.1. sz. mell ÖNK'!C21</f>
        <v>0</v>
      </c>
    </row>
    <row r="19" spans="1:3" s="424" customFormat="1" ht="12" customHeight="1" thickBot="1" x14ac:dyDescent="0.25">
      <c r="A19" s="20" t="s">
        <v>17</v>
      </c>
      <c r="B19" s="21" t="s">
        <v>250</v>
      </c>
      <c r="C19" s="296">
        <f>+C20+C21+C22+C23+C24</f>
        <v>17831266</v>
      </c>
    </row>
    <row r="20" spans="1:3" s="424" customFormat="1" ht="12" customHeight="1" x14ac:dyDescent="0.2">
      <c r="A20" s="15" t="s">
        <v>81</v>
      </c>
      <c r="B20" s="425" t="s">
        <v>251</v>
      </c>
      <c r="C20" s="299">
        <f>'9.1. sz. mell ÖNK'!C23</f>
        <v>0</v>
      </c>
    </row>
    <row r="21" spans="1:3" s="424" customFormat="1" ht="12" customHeight="1" x14ac:dyDescent="0.2">
      <c r="A21" s="14" t="s">
        <v>82</v>
      </c>
      <c r="B21" s="426" t="s">
        <v>252</v>
      </c>
      <c r="C21" s="299">
        <f>'9.1. sz. mell ÖNK'!C24</f>
        <v>0</v>
      </c>
    </row>
    <row r="22" spans="1:3" s="424" customFormat="1" ht="12" customHeight="1" x14ac:dyDescent="0.2">
      <c r="A22" s="14" t="s">
        <v>83</v>
      </c>
      <c r="B22" s="426" t="s">
        <v>416</v>
      </c>
      <c r="C22" s="299">
        <f>'9.1. sz. mell ÖNK'!C25</f>
        <v>0</v>
      </c>
    </row>
    <row r="23" spans="1:3" s="424" customFormat="1" ht="12" customHeight="1" x14ac:dyDescent="0.2">
      <c r="A23" s="14" t="s">
        <v>84</v>
      </c>
      <c r="B23" s="426" t="s">
        <v>417</v>
      </c>
      <c r="C23" s="299">
        <f>'9.1. sz. mell ÖNK'!C26</f>
        <v>0</v>
      </c>
    </row>
    <row r="24" spans="1:3" s="424" customFormat="1" ht="12" customHeight="1" x14ac:dyDescent="0.2">
      <c r="A24" s="14" t="s">
        <v>160</v>
      </c>
      <c r="B24" s="426" t="s">
        <v>253</v>
      </c>
      <c r="C24" s="299">
        <f>'9.1. sz. mell ÖNK'!C27+'9.4. sz. mell ILMKS'!C28</f>
        <v>17831266</v>
      </c>
    </row>
    <row r="25" spans="1:3" s="424" customFormat="1" ht="12" customHeight="1" thickBot="1" x14ac:dyDescent="0.25">
      <c r="A25" s="16" t="s">
        <v>161</v>
      </c>
      <c r="B25" s="427" t="s">
        <v>254</v>
      </c>
      <c r="C25" s="299">
        <f>'9.1. sz. mell ÖNK'!C28</f>
        <v>0</v>
      </c>
    </row>
    <row r="26" spans="1:3" s="424" customFormat="1" ht="12" customHeight="1" thickBot="1" x14ac:dyDescent="0.25">
      <c r="A26" s="20" t="s">
        <v>162</v>
      </c>
      <c r="B26" s="21" t="s">
        <v>539</v>
      </c>
      <c r="C26" s="302">
        <f>SUM(C27:C34)+'9.2. sz. mell HIV'!C25</f>
        <v>123575000</v>
      </c>
    </row>
    <row r="27" spans="1:3" s="424" customFormat="1" ht="12" customHeight="1" x14ac:dyDescent="0.2">
      <c r="A27" s="15" t="s">
        <v>256</v>
      </c>
      <c r="B27" s="425" t="s">
        <v>543</v>
      </c>
      <c r="C27" s="299">
        <f>'9.1. sz. mell ÖNK'!C30</f>
        <v>0</v>
      </c>
    </row>
    <row r="28" spans="1:3" s="424" customFormat="1" ht="12" customHeight="1" x14ac:dyDescent="0.2">
      <c r="A28" s="14" t="s">
        <v>257</v>
      </c>
      <c r="B28" s="426" t="s">
        <v>544</v>
      </c>
      <c r="C28" s="299">
        <f>'9.1. sz. mell ÖNK'!C31</f>
        <v>15000</v>
      </c>
    </row>
    <row r="29" spans="1:3" s="424" customFormat="1" ht="12" customHeight="1" x14ac:dyDescent="0.2">
      <c r="A29" s="14" t="s">
        <v>258</v>
      </c>
      <c r="B29" s="426" t="s">
        <v>628</v>
      </c>
      <c r="C29" s="299">
        <f>'9.1. sz. mell ÖNK'!C32</f>
        <v>17100000</v>
      </c>
    </row>
    <row r="30" spans="1:3" s="424" customFormat="1" ht="12" customHeight="1" x14ac:dyDescent="0.2">
      <c r="A30" s="14" t="s">
        <v>259</v>
      </c>
      <c r="B30" s="426" t="s">
        <v>545</v>
      </c>
      <c r="C30" s="299">
        <f>'9.1. sz. mell ÖNK'!C33</f>
        <v>90000000</v>
      </c>
    </row>
    <row r="31" spans="1:3" s="424" customFormat="1" ht="12" customHeight="1" x14ac:dyDescent="0.2">
      <c r="A31" s="14" t="s">
        <v>540</v>
      </c>
      <c r="B31" s="426" t="s">
        <v>546</v>
      </c>
      <c r="C31" s="299">
        <f>'9.1. sz. mell ÖNK'!C34</f>
        <v>10000</v>
      </c>
    </row>
    <row r="32" spans="1:3" s="424" customFormat="1" ht="12" customHeight="1" x14ac:dyDescent="0.2">
      <c r="A32" s="14" t="s">
        <v>541</v>
      </c>
      <c r="B32" s="426" t="s">
        <v>260</v>
      </c>
      <c r="C32" s="299">
        <f>'9.1. sz. mell ÖNK'!C35</f>
        <v>15000000</v>
      </c>
    </row>
    <row r="33" spans="1:3" s="424" customFormat="1" ht="12" customHeight="1" x14ac:dyDescent="0.2">
      <c r="A33" s="16" t="s">
        <v>542</v>
      </c>
      <c r="B33" s="426" t="s">
        <v>261</v>
      </c>
      <c r="C33" s="299">
        <f>'9.1. sz. mell ÖNK'!C36</f>
        <v>0</v>
      </c>
    </row>
    <row r="34" spans="1:3" s="424" customFormat="1" ht="12" customHeight="1" thickBot="1" x14ac:dyDescent="0.25">
      <c r="A34" s="16" t="s">
        <v>629</v>
      </c>
      <c r="B34" s="522" t="s">
        <v>262</v>
      </c>
      <c r="C34" s="299">
        <f>'9.1. sz. mell ÖNK'!C37</f>
        <v>1400000</v>
      </c>
    </row>
    <row r="35" spans="1:3" s="424" customFormat="1" ht="12" customHeight="1" thickBot="1" x14ac:dyDescent="0.25">
      <c r="A35" s="20" t="s">
        <v>19</v>
      </c>
      <c r="B35" s="21" t="s">
        <v>426</v>
      </c>
      <c r="C35" s="296">
        <f>SUM(C36:C46)</f>
        <v>78737303</v>
      </c>
    </row>
    <row r="36" spans="1:3" s="424" customFormat="1" ht="12" customHeight="1" x14ac:dyDescent="0.2">
      <c r="A36" s="15" t="s">
        <v>85</v>
      </c>
      <c r="B36" s="425" t="s">
        <v>265</v>
      </c>
      <c r="C36" s="299">
        <f>'9.1. sz. mell ÖNK'!C39+'9.2. sz. mell HIV'!C9+'9.3. sz. mell GAM'!C9+'9.4. sz. mell ILMKS'!C9+'9.5. sz. mell OVI'!C9</f>
        <v>5147941</v>
      </c>
    </row>
    <row r="37" spans="1:3" s="424" customFormat="1" ht="12" customHeight="1" x14ac:dyDescent="0.2">
      <c r="A37" s="14" t="s">
        <v>86</v>
      </c>
      <c r="B37" s="426" t="s">
        <v>266</v>
      </c>
      <c r="C37" s="299">
        <f>'9.1. sz. mell ÖNK'!C40+'9.2. sz. mell HIV'!C10+'9.3. sz. mell GAM'!C10+'9.4. sz. mell ILMKS'!C10+'9.5. sz. mell OVI'!C10</f>
        <v>50344100</v>
      </c>
    </row>
    <row r="38" spans="1:3" s="424" customFormat="1" ht="12" customHeight="1" x14ac:dyDescent="0.2">
      <c r="A38" s="14" t="s">
        <v>87</v>
      </c>
      <c r="B38" s="426" t="s">
        <v>267</v>
      </c>
      <c r="C38" s="299">
        <f>'9.1. sz. mell ÖNK'!C41+'9.2. sz. mell HIV'!C11+'9.3. sz. mell GAM'!C11+'9.4. sz. mell ILMKS'!C11+'9.5. sz. mell OVI'!C11</f>
        <v>3325000</v>
      </c>
    </row>
    <row r="39" spans="1:3" s="424" customFormat="1" ht="12" customHeight="1" x14ac:dyDescent="0.2">
      <c r="A39" s="14" t="s">
        <v>164</v>
      </c>
      <c r="B39" s="426" t="s">
        <v>268</v>
      </c>
      <c r="C39" s="299">
        <f>'9.1. sz. mell ÖNK'!C42+'9.2. sz. mell HIV'!C12+'9.3. sz. mell GAM'!C12+'9.4. sz. mell ILMKS'!C12+'9.5. sz. mell OVI'!C12</f>
        <v>0</v>
      </c>
    </row>
    <row r="40" spans="1:3" s="424" customFormat="1" ht="12" customHeight="1" x14ac:dyDescent="0.2">
      <c r="A40" s="14" t="s">
        <v>165</v>
      </c>
      <c r="B40" s="426" t="s">
        <v>269</v>
      </c>
      <c r="C40" s="299">
        <f>'9.1. sz. mell ÖNK'!C43+'9.2. sz. mell HIV'!C13+'9.3. sz. mell GAM'!C13+'9.4. sz. mell ILMKS'!C13+'9.5. sz. mell OVI'!C13</f>
        <v>6417557</v>
      </c>
    </row>
    <row r="41" spans="1:3" s="424" customFormat="1" ht="12" customHeight="1" x14ac:dyDescent="0.2">
      <c r="A41" s="14" t="s">
        <v>166</v>
      </c>
      <c r="B41" s="426" t="s">
        <v>270</v>
      </c>
      <c r="C41" s="299">
        <f>'9.1. sz. mell ÖNK'!C44+'9.2. sz. mell HIV'!C14+'9.3. sz. mell GAM'!C14+'9.4. sz. mell ILMKS'!C14+'9.5. sz. mell OVI'!C14</f>
        <v>13502705</v>
      </c>
    </row>
    <row r="42" spans="1:3" s="424" customFormat="1" ht="12" customHeight="1" x14ac:dyDescent="0.2">
      <c r="A42" s="14" t="s">
        <v>167</v>
      </c>
      <c r="B42" s="426" t="s">
        <v>271</v>
      </c>
      <c r="C42" s="299">
        <f>'9.1. sz. mell ÖNK'!C45+'9.2. sz. mell HIV'!C15+'9.3. sz. mell GAM'!C15+'9.4. sz. mell ILMKS'!C15+'9.5. sz. mell OVI'!C15</f>
        <v>0</v>
      </c>
    </row>
    <row r="43" spans="1:3" s="424" customFormat="1" ht="12" customHeight="1" x14ac:dyDescent="0.2">
      <c r="A43" s="14" t="s">
        <v>168</v>
      </c>
      <c r="B43" s="426" t="s">
        <v>547</v>
      </c>
      <c r="C43" s="299">
        <f>'9.1. sz. mell ÖNK'!C46+'9.2. sz. mell HIV'!C16+'9.3. sz. mell GAM'!C16+'9.4. sz. mell ILMKS'!C16+'9.5. sz. mell OVI'!C16</f>
        <v>0</v>
      </c>
    </row>
    <row r="44" spans="1:3" s="424" customFormat="1" ht="12" customHeight="1" x14ac:dyDescent="0.2">
      <c r="A44" s="14" t="s">
        <v>263</v>
      </c>
      <c r="B44" s="426" t="s">
        <v>273</v>
      </c>
      <c r="C44" s="299">
        <f>'9.1. sz. mell ÖNK'!C47+'9.2. sz. mell HIV'!C17+'9.3. sz. mell GAM'!C17+'9.4. sz. mell ILMKS'!C17+'9.5. sz. mell OVI'!C17</f>
        <v>0</v>
      </c>
    </row>
    <row r="45" spans="1:3" s="424" customFormat="1" ht="12" customHeight="1" x14ac:dyDescent="0.2">
      <c r="A45" s="16" t="s">
        <v>264</v>
      </c>
      <c r="B45" s="427" t="s">
        <v>428</v>
      </c>
      <c r="C45" s="299">
        <f>'9.1. sz. mell ÖNK'!C48+'9.2. sz. mell HIV'!C18+'9.3. sz. mell GAM'!C18+'9.4. sz. mell ILMKS'!C18+'9.5. sz. mell OVI'!C18</f>
        <v>0</v>
      </c>
    </row>
    <row r="46" spans="1:3" s="424" customFormat="1" ht="12" customHeight="1" thickBot="1" x14ac:dyDescent="0.25">
      <c r="A46" s="16" t="s">
        <v>427</v>
      </c>
      <c r="B46" s="293" t="s">
        <v>274</v>
      </c>
      <c r="C46" s="299">
        <f>'9.1. sz. mell ÖNK'!C49+'9.2. sz. mell HIV'!C19+'9.3. sz. mell GAM'!C19+'9.4. sz. mell ILMKS'!C19+'9.5. sz. mell OVI'!C19</f>
        <v>0</v>
      </c>
    </row>
    <row r="47" spans="1:3" s="424" customFormat="1" ht="12" customHeight="1" thickBot="1" x14ac:dyDescent="0.25">
      <c r="A47" s="20" t="s">
        <v>20</v>
      </c>
      <c r="B47" s="21" t="s">
        <v>275</v>
      </c>
      <c r="C47" s="296">
        <f>SUM(C48:C52)</f>
        <v>57540240</v>
      </c>
    </row>
    <row r="48" spans="1:3" s="424" customFormat="1" ht="12" customHeight="1" x14ac:dyDescent="0.2">
      <c r="A48" s="15" t="s">
        <v>88</v>
      </c>
      <c r="B48" s="425" t="s">
        <v>279</v>
      </c>
      <c r="C48" s="470">
        <f>'9.1. sz. mell ÖNK'!C51</f>
        <v>0</v>
      </c>
    </row>
    <row r="49" spans="1:3" s="424" customFormat="1" ht="12" customHeight="1" x14ac:dyDescent="0.2">
      <c r="A49" s="14" t="s">
        <v>89</v>
      </c>
      <c r="B49" s="426" t="s">
        <v>280</v>
      </c>
      <c r="C49" s="470">
        <f>'9.1. sz. mell ÖNK'!C52</f>
        <v>55760240</v>
      </c>
    </row>
    <row r="50" spans="1:3" s="424" customFormat="1" ht="12" customHeight="1" x14ac:dyDescent="0.2">
      <c r="A50" s="14" t="s">
        <v>276</v>
      </c>
      <c r="B50" s="426" t="s">
        <v>281</v>
      </c>
      <c r="C50" s="470">
        <f>'9.1. sz. mell ÖNK'!C53</f>
        <v>1780000</v>
      </c>
    </row>
    <row r="51" spans="1:3" s="424" customFormat="1" ht="12" customHeight="1" x14ac:dyDescent="0.2">
      <c r="A51" s="14" t="s">
        <v>277</v>
      </c>
      <c r="B51" s="426" t="s">
        <v>282</v>
      </c>
      <c r="C51" s="470">
        <f>'9.1. sz. mell ÖNK'!C54</f>
        <v>0</v>
      </c>
    </row>
    <row r="52" spans="1:3" s="424" customFormat="1" ht="12" customHeight="1" thickBot="1" x14ac:dyDescent="0.25">
      <c r="A52" s="16" t="s">
        <v>278</v>
      </c>
      <c r="B52" s="293" t="s">
        <v>283</v>
      </c>
      <c r="C52" s="470">
        <f>'9.1. sz. mell ÖNK'!C55</f>
        <v>0</v>
      </c>
    </row>
    <row r="53" spans="1:3" s="424" customFormat="1" ht="12" customHeight="1" thickBot="1" x14ac:dyDescent="0.25">
      <c r="A53" s="20" t="s">
        <v>169</v>
      </c>
      <c r="B53" s="21" t="s">
        <v>284</v>
      </c>
      <c r="C53" s="296">
        <f>SUM(C54:C56)</f>
        <v>0</v>
      </c>
    </row>
    <row r="54" spans="1:3" s="424" customFormat="1" ht="12" customHeight="1" x14ac:dyDescent="0.2">
      <c r="A54" s="15" t="s">
        <v>90</v>
      </c>
      <c r="B54" s="425" t="s">
        <v>285</v>
      </c>
      <c r="C54" s="299">
        <f>'9.1. sz. mell ÖNK'!C57</f>
        <v>0</v>
      </c>
    </row>
    <row r="55" spans="1:3" s="424" customFormat="1" ht="12" customHeight="1" x14ac:dyDescent="0.2">
      <c r="A55" s="14" t="s">
        <v>91</v>
      </c>
      <c r="B55" s="426" t="s">
        <v>418</v>
      </c>
      <c r="C55" s="299">
        <f>'9.1. sz. mell ÖNK'!C58</f>
        <v>0</v>
      </c>
    </row>
    <row r="56" spans="1:3" s="424" customFormat="1" ht="12" customHeight="1" x14ac:dyDescent="0.2">
      <c r="A56" s="14" t="s">
        <v>288</v>
      </c>
      <c r="B56" s="426" t="s">
        <v>286</v>
      </c>
      <c r="C56" s="299">
        <f>'9.1. sz. mell ÖNK'!C59</f>
        <v>0</v>
      </c>
    </row>
    <row r="57" spans="1:3" s="424" customFormat="1" ht="12" customHeight="1" thickBot="1" x14ac:dyDescent="0.25">
      <c r="A57" s="16" t="s">
        <v>289</v>
      </c>
      <c r="B57" s="293" t="s">
        <v>287</v>
      </c>
      <c r="C57" s="299">
        <f>'9.1. sz. mell ÖNK'!C60</f>
        <v>0</v>
      </c>
    </row>
    <row r="58" spans="1:3" s="424" customFormat="1" ht="12" customHeight="1" thickBot="1" x14ac:dyDescent="0.25">
      <c r="A58" s="20" t="s">
        <v>22</v>
      </c>
      <c r="B58" s="291" t="s">
        <v>290</v>
      </c>
      <c r="C58" s="296">
        <f>SUM(C59:C61)</f>
        <v>410000</v>
      </c>
    </row>
    <row r="59" spans="1:3" s="424" customFormat="1" ht="12" customHeight="1" x14ac:dyDescent="0.2">
      <c r="A59" s="15" t="s">
        <v>170</v>
      </c>
      <c r="B59" s="425" t="s">
        <v>292</v>
      </c>
      <c r="C59" s="301">
        <f>'9.1. sz. mell ÖNK'!C62</f>
        <v>0</v>
      </c>
    </row>
    <row r="60" spans="1:3" s="424" customFormat="1" ht="12" customHeight="1" x14ac:dyDescent="0.2">
      <c r="A60" s="14" t="s">
        <v>171</v>
      </c>
      <c r="B60" s="426" t="s">
        <v>419</v>
      </c>
      <c r="C60" s="301">
        <f>'9.1. sz. mell ÖNK'!C63</f>
        <v>410000</v>
      </c>
    </row>
    <row r="61" spans="1:3" s="424" customFormat="1" ht="12" customHeight="1" x14ac:dyDescent="0.2">
      <c r="A61" s="14" t="s">
        <v>216</v>
      </c>
      <c r="B61" s="426" t="s">
        <v>293</v>
      </c>
      <c r="C61" s="301">
        <f>'9.1. sz. mell ÖNK'!C64</f>
        <v>0</v>
      </c>
    </row>
    <row r="62" spans="1:3" s="424" customFormat="1" ht="12" customHeight="1" thickBot="1" x14ac:dyDescent="0.25">
      <c r="A62" s="16" t="s">
        <v>291</v>
      </c>
      <c r="B62" s="293" t="s">
        <v>294</v>
      </c>
      <c r="C62" s="301">
        <f>'9.1. sz. mell ÖNK'!C65</f>
        <v>0</v>
      </c>
    </row>
    <row r="63" spans="1:3" s="424" customFormat="1" ht="12" customHeight="1" thickBot="1" x14ac:dyDescent="0.25">
      <c r="A63" s="494" t="s">
        <v>468</v>
      </c>
      <c r="B63" s="21" t="s">
        <v>295</v>
      </c>
      <c r="C63" s="302">
        <f>+C5+C12+C19+C26+C35+C47+C53+C58</f>
        <v>935229785</v>
      </c>
    </row>
    <row r="64" spans="1:3" s="424" customFormat="1" ht="12" customHeight="1" thickBot="1" x14ac:dyDescent="0.25">
      <c r="A64" s="473" t="s">
        <v>296</v>
      </c>
      <c r="B64" s="291" t="s">
        <v>297</v>
      </c>
      <c r="C64" s="296">
        <f>SUM(C65:C67)</f>
        <v>0</v>
      </c>
    </row>
    <row r="65" spans="1:3" s="424" customFormat="1" ht="12" customHeight="1" x14ac:dyDescent="0.2">
      <c r="A65" s="15" t="s">
        <v>328</v>
      </c>
      <c r="B65" s="425" t="s">
        <v>298</v>
      </c>
      <c r="C65" s="301">
        <f>'9.1. sz. mell ÖNK'!C68</f>
        <v>0</v>
      </c>
    </row>
    <row r="66" spans="1:3" s="424" customFormat="1" ht="12" customHeight="1" x14ac:dyDescent="0.2">
      <c r="A66" s="14" t="s">
        <v>337</v>
      </c>
      <c r="B66" s="426" t="s">
        <v>299</v>
      </c>
      <c r="C66" s="301"/>
    </row>
    <row r="67" spans="1:3" s="424" customFormat="1" ht="12" customHeight="1" thickBot="1" x14ac:dyDescent="0.25">
      <c r="A67" s="16" t="s">
        <v>338</v>
      </c>
      <c r="B67" s="488" t="s">
        <v>453</v>
      </c>
      <c r="C67" s="301"/>
    </row>
    <row r="68" spans="1:3" s="424" customFormat="1" ht="12" customHeight="1" thickBot="1" x14ac:dyDescent="0.25">
      <c r="A68" s="473" t="s">
        <v>301</v>
      </c>
      <c r="B68" s="291" t="s">
        <v>302</v>
      </c>
      <c r="C68" s="296">
        <f>SUM(C69:C72)</f>
        <v>0</v>
      </c>
    </row>
    <row r="69" spans="1:3" s="424" customFormat="1" ht="12" customHeight="1" x14ac:dyDescent="0.2">
      <c r="A69" s="15" t="s">
        <v>142</v>
      </c>
      <c r="B69" s="425" t="s">
        <v>303</v>
      </c>
      <c r="C69" s="301"/>
    </row>
    <row r="70" spans="1:3" s="424" customFormat="1" ht="12" customHeight="1" x14ac:dyDescent="0.2">
      <c r="A70" s="14" t="s">
        <v>143</v>
      </c>
      <c r="B70" s="426" t="s">
        <v>304</v>
      </c>
      <c r="C70" s="301"/>
    </row>
    <row r="71" spans="1:3" s="424" customFormat="1" ht="12" customHeight="1" x14ac:dyDescent="0.2">
      <c r="A71" s="14" t="s">
        <v>329</v>
      </c>
      <c r="B71" s="426" t="s">
        <v>305</v>
      </c>
      <c r="C71" s="301"/>
    </row>
    <row r="72" spans="1:3" s="424" customFormat="1" ht="12" customHeight="1" thickBot="1" x14ac:dyDescent="0.25">
      <c r="A72" s="16" t="s">
        <v>330</v>
      </c>
      <c r="B72" s="293" t="s">
        <v>306</v>
      </c>
      <c r="C72" s="301"/>
    </row>
    <row r="73" spans="1:3" s="424" customFormat="1" ht="12" customHeight="1" thickBot="1" x14ac:dyDescent="0.25">
      <c r="A73" s="473" t="s">
        <v>307</v>
      </c>
      <c r="B73" s="291" t="s">
        <v>308</v>
      </c>
      <c r="C73" s="296">
        <f>SUM(C74:C75)</f>
        <v>952492965</v>
      </c>
    </row>
    <row r="74" spans="1:3" s="424" customFormat="1" ht="12" customHeight="1" x14ac:dyDescent="0.2">
      <c r="A74" s="15" t="s">
        <v>331</v>
      </c>
      <c r="B74" s="425" t="s">
        <v>309</v>
      </c>
      <c r="C74" s="301">
        <f>'9.1.1. sz. mell ÖNK'!C77+'9.2. sz. mell HIV'!C39+'9.3. sz. mell GAM'!C38+'9.4. sz. mell ILMKS'!C38+'9.5. sz. mell OVI'!C38+'9.6. sz. mell CSSK'!C38</f>
        <v>951562419</v>
      </c>
    </row>
    <row r="75" spans="1:3" s="424" customFormat="1" ht="12" customHeight="1" thickBot="1" x14ac:dyDescent="0.25">
      <c r="A75" s="16" t="s">
        <v>332</v>
      </c>
      <c r="B75" s="293" t="s">
        <v>310</v>
      </c>
      <c r="C75" s="301">
        <f>'9.1.1. sz. mell ÖNK'!C78+'9.2. sz. mell HIV'!C40+'9.3. sz. mell GAM'!C39+'9.4. sz. mell ILMKS'!C39+'9.5. sz. mell OVI'!C39</f>
        <v>930546</v>
      </c>
    </row>
    <row r="76" spans="1:3" s="424" customFormat="1" ht="12" customHeight="1" thickBot="1" x14ac:dyDescent="0.25">
      <c r="A76" s="473" t="s">
        <v>311</v>
      </c>
      <c r="B76" s="291" t="s">
        <v>312</v>
      </c>
      <c r="C76" s="296">
        <f>SUM(C77:C79)</f>
        <v>0</v>
      </c>
    </row>
    <row r="77" spans="1:3" s="424" customFormat="1" ht="12" customHeight="1" x14ac:dyDescent="0.2">
      <c r="A77" s="15" t="s">
        <v>333</v>
      </c>
      <c r="B77" s="425" t="s">
        <v>313</v>
      </c>
      <c r="C77" s="301"/>
    </row>
    <row r="78" spans="1:3" s="424" customFormat="1" ht="12" customHeight="1" x14ac:dyDescent="0.2">
      <c r="A78" s="14" t="s">
        <v>334</v>
      </c>
      <c r="B78" s="426" t="s">
        <v>314</v>
      </c>
      <c r="C78" s="301"/>
    </row>
    <row r="79" spans="1:3" s="424" customFormat="1" ht="12" customHeight="1" thickBot="1" x14ac:dyDescent="0.25">
      <c r="A79" s="16" t="s">
        <v>335</v>
      </c>
      <c r="B79" s="293" t="s">
        <v>315</v>
      </c>
      <c r="C79" s="301"/>
    </row>
    <row r="80" spans="1:3" s="424" customFormat="1" ht="12" customHeight="1" thickBot="1" x14ac:dyDescent="0.25">
      <c r="A80" s="473" t="s">
        <v>316</v>
      </c>
      <c r="B80" s="291" t="s">
        <v>336</v>
      </c>
      <c r="C80" s="296">
        <f>SUM(C81:C84)</f>
        <v>0</v>
      </c>
    </row>
    <row r="81" spans="1:3" s="424" customFormat="1" ht="12" customHeight="1" x14ac:dyDescent="0.2">
      <c r="A81" s="429" t="s">
        <v>317</v>
      </c>
      <c r="B81" s="425" t="s">
        <v>318</v>
      </c>
      <c r="C81" s="301"/>
    </row>
    <row r="82" spans="1:3" s="424" customFormat="1" ht="12" customHeight="1" x14ac:dyDescent="0.2">
      <c r="A82" s="430" t="s">
        <v>319</v>
      </c>
      <c r="B82" s="426" t="s">
        <v>320</v>
      </c>
      <c r="C82" s="301"/>
    </row>
    <row r="83" spans="1:3" s="424" customFormat="1" ht="12" customHeight="1" x14ac:dyDescent="0.2">
      <c r="A83" s="430" t="s">
        <v>321</v>
      </c>
      <c r="B83" s="426" t="s">
        <v>322</v>
      </c>
      <c r="C83" s="301"/>
    </row>
    <row r="84" spans="1:3" s="424" customFormat="1" ht="12" customHeight="1" thickBot="1" x14ac:dyDescent="0.25">
      <c r="A84" s="431" t="s">
        <v>323</v>
      </c>
      <c r="B84" s="293" t="s">
        <v>324</v>
      </c>
      <c r="C84" s="301"/>
    </row>
    <row r="85" spans="1:3" s="424" customFormat="1" ht="12" customHeight="1" thickBot="1" x14ac:dyDescent="0.25">
      <c r="A85" s="473" t="s">
        <v>325</v>
      </c>
      <c r="B85" s="291" t="s">
        <v>467</v>
      </c>
      <c r="C85" s="471"/>
    </row>
    <row r="86" spans="1:3" s="424" customFormat="1" ht="13.5" customHeight="1" thickBot="1" x14ac:dyDescent="0.25">
      <c r="A86" s="473" t="s">
        <v>327</v>
      </c>
      <c r="B86" s="291" t="s">
        <v>326</v>
      </c>
      <c r="C86" s="471"/>
    </row>
    <row r="87" spans="1:3" s="424" customFormat="1" ht="15.75" customHeight="1" thickBot="1" x14ac:dyDescent="0.25">
      <c r="A87" s="473" t="s">
        <v>339</v>
      </c>
      <c r="B87" s="432" t="s">
        <v>470</v>
      </c>
      <c r="C87" s="302">
        <f>+C64+C68+C73+C76+C80+C86+C85</f>
        <v>952492965</v>
      </c>
    </row>
    <row r="88" spans="1:3" s="424" customFormat="1" ht="16.5" customHeight="1" thickBot="1" x14ac:dyDescent="0.25">
      <c r="A88" s="474" t="s">
        <v>469</v>
      </c>
      <c r="B88" s="433" t="s">
        <v>471</v>
      </c>
      <c r="C88" s="302">
        <f>+C63+C87</f>
        <v>1887722750</v>
      </c>
    </row>
    <row r="89" spans="1:3" s="424" customFormat="1" ht="36" customHeight="1" x14ac:dyDescent="0.2">
      <c r="A89" s="5"/>
      <c r="B89" s="6"/>
      <c r="C89" s="303"/>
    </row>
    <row r="90" spans="1:3" ht="16.5" customHeight="1" x14ac:dyDescent="0.25">
      <c r="A90" s="675" t="s">
        <v>44</v>
      </c>
      <c r="B90" s="675"/>
      <c r="C90" s="675"/>
    </row>
    <row r="91" spans="1:3" s="434" customFormat="1" ht="16.5" customHeight="1" thickBot="1" x14ac:dyDescent="0.3">
      <c r="A91" s="677" t="s">
        <v>146</v>
      </c>
      <c r="B91" s="677"/>
      <c r="C91" s="146" t="s">
        <v>563</v>
      </c>
    </row>
    <row r="92" spans="1:3" ht="38.1" customHeight="1" thickBot="1" x14ac:dyDescent="0.3">
      <c r="A92" s="23" t="s">
        <v>66</v>
      </c>
      <c r="B92" s="24" t="s">
        <v>45</v>
      </c>
      <c r="C92" s="41" t="str">
        <f>+C3</f>
        <v>2019. évi előirányzat</v>
      </c>
    </row>
    <row r="93" spans="1:3" s="423" customFormat="1" ht="12" customHeight="1" thickBot="1" x14ac:dyDescent="0.25">
      <c r="A93" s="33"/>
      <c r="B93" s="34" t="s">
        <v>484</v>
      </c>
      <c r="C93" s="35" t="s">
        <v>485</v>
      </c>
    </row>
    <row r="94" spans="1:3" ht="12" customHeight="1" thickBot="1" x14ac:dyDescent="0.3">
      <c r="A94" s="22" t="s">
        <v>15</v>
      </c>
      <c r="B94" s="28" t="s">
        <v>429</v>
      </c>
      <c r="C94" s="295">
        <f>+C95+C96+C97+C98+C99+C112</f>
        <v>1238392509</v>
      </c>
    </row>
    <row r="95" spans="1:3" ht="12" customHeight="1" x14ac:dyDescent="0.25">
      <c r="A95" s="17" t="s">
        <v>92</v>
      </c>
      <c r="B95" s="10" t="s">
        <v>46</v>
      </c>
      <c r="C95" s="536">
        <f>'9.1. sz. mell ÖNK'!C95+'9.2. sz. mell HIV'!C47+'9.3. sz. mell GAM'!C46+'9.4. sz. mell ILMKS'!C46+'9.5. sz. mell OVI'!C46+'9.6. sz. mell CSSK'!C46</f>
        <v>481794856</v>
      </c>
    </row>
    <row r="96" spans="1:3" ht="12" customHeight="1" x14ac:dyDescent="0.25">
      <c r="A96" s="14" t="s">
        <v>93</v>
      </c>
      <c r="B96" s="8" t="s">
        <v>172</v>
      </c>
      <c r="C96" s="298">
        <f>'9.1. sz. mell ÖNK'!C96+'9.2. sz. mell HIV'!C48+'9.3. sz. mell GAM'!C47+'9.4. sz. mell ILMKS'!C47+'9.5. sz. mell OVI'!C47+'9.6. sz. mell CSSK'!C47</f>
        <v>85692446</v>
      </c>
    </row>
    <row r="97" spans="1:3" ht="12" customHeight="1" x14ac:dyDescent="0.25">
      <c r="A97" s="14" t="s">
        <v>94</v>
      </c>
      <c r="B97" s="8" t="s">
        <v>134</v>
      </c>
      <c r="C97" s="537">
        <f>'9.1. sz. mell ÖNK'!C97+'9.2. sz. mell HIV'!C49+'9.3. sz. mell GAM'!C48+'9.4. sz. mell ILMKS'!C48+'9.5. sz. mell OVI'!C48+'9.6. sz. mell CSSK'!C48</f>
        <v>325017026</v>
      </c>
    </row>
    <row r="98" spans="1:3" ht="12" customHeight="1" x14ac:dyDescent="0.25">
      <c r="A98" s="14" t="s">
        <v>95</v>
      </c>
      <c r="B98" s="11" t="s">
        <v>173</v>
      </c>
      <c r="C98" s="298">
        <f>'9.1. sz. mell ÖNK'!C99+'9.2. sz. mell HIV'!C50+'9.3. sz. mell GAM'!C49+'9.4. sz. mell ILMKS'!C49+'9.5. sz. mell OVI'!C49+'9.6. sz. mell CSSK'!C49</f>
        <v>25982000</v>
      </c>
    </row>
    <row r="99" spans="1:3" ht="12" customHeight="1" x14ac:dyDescent="0.25">
      <c r="A99" s="14" t="s">
        <v>106</v>
      </c>
      <c r="B99" s="19" t="s">
        <v>174</v>
      </c>
      <c r="C99" s="537">
        <f>'9.1. sz. mell ÖNK'!C100+'9.2. sz. mell HIV'!C51+'9.3. sz. mell GAM'!C50+'9.4. sz. mell ILMKS'!C50+'9.5. sz. mell OVI'!C50+'9.6. sz. mell CSSK'!C50</f>
        <v>25683749</v>
      </c>
    </row>
    <row r="100" spans="1:3" ht="12" customHeight="1" x14ac:dyDescent="0.25">
      <c r="A100" s="14" t="s">
        <v>96</v>
      </c>
      <c r="B100" s="8" t="s">
        <v>434</v>
      </c>
      <c r="C100" s="300">
        <f>'9.1. sz. mell ÖNK'!C101</f>
        <v>0</v>
      </c>
    </row>
    <row r="101" spans="1:3" ht="12" customHeight="1" x14ac:dyDescent="0.25">
      <c r="A101" s="14" t="s">
        <v>97</v>
      </c>
      <c r="B101" s="151" t="s">
        <v>433</v>
      </c>
      <c r="C101" s="300">
        <f>'9.1. sz. mell ÖNK'!C102</f>
        <v>0</v>
      </c>
    </row>
    <row r="102" spans="1:3" ht="12" customHeight="1" x14ac:dyDescent="0.25">
      <c r="A102" s="14" t="s">
        <v>107</v>
      </c>
      <c r="B102" s="151" t="s">
        <v>432</v>
      </c>
      <c r="C102" s="300">
        <f>'9.1. sz. mell ÖNK'!C103</f>
        <v>0</v>
      </c>
    </row>
    <row r="103" spans="1:3" ht="12" customHeight="1" x14ac:dyDescent="0.25">
      <c r="A103" s="14" t="s">
        <v>108</v>
      </c>
      <c r="B103" s="149" t="s">
        <v>342</v>
      </c>
      <c r="C103" s="300">
        <f>'9.1. sz. mell ÖNK'!C104</f>
        <v>0</v>
      </c>
    </row>
    <row r="104" spans="1:3" ht="12" customHeight="1" x14ac:dyDescent="0.25">
      <c r="A104" s="14" t="s">
        <v>109</v>
      </c>
      <c r="B104" s="150" t="s">
        <v>343</v>
      </c>
      <c r="C104" s="300">
        <f>'9.1. sz. mell ÖNK'!C105</f>
        <v>0</v>
      </c>
    </row>
    <row r="105" spans="1:3" ht="12" customHeight="1" x14ac:dyDescent="0.25">
      <c r="A105" s="14" t="s">
        <v>110</v>
      </c>
      <c r="B105" s="150" t="s">
        <v>344</v>
      </c>
      <c r="C105" s="300">
        <f>'9.1. sz. mell ÖNK'!C106</f>
        <v>0</v>
      </c>
    </row>
    <row r="106" spans="1:3" ht="12" customHeight="1" x14ac:dyDescent="0.25">
      <c r="A106" s="14" t="s">
        <v>112</v>
      </c>
      <c r="B106" s="149" t="s">
        <v>345</v>
      </c>
      <c r="C106" s="300">
        <f>'9.1. sz. mell ÖNK'!C107</f>
        <v>1600000</v>
      </c>
    </row>
    <row r="107" spans="1:3" ht="12" customHeight="1" x14ac:dyDescent="0.25">
      <c r="A107" s="14" t="s">
        <v>175</v>
      </c>
      <c r="B107" s="149" t="s">
        <v>346</v>
      </c>
      <c r="C107" s="300">
        <f>'9.1. sz. mell ÖNK'!C108</f>
        <v>0</v>
      </c>
    </row>
    <row r="108" spans="1:3" ht="12" customHeight="1" x14ac:dyDescent="0.25">
      <c r="A108" s="14" t="s">
        <v>340</v>
      </c>
      <c r="B108" s="150" t="s">
        <v>347</v>
      </c>
      <c r="C108" s="300">
        <f>'9.1. sz. mell ÖNK'!C109</f>
        <v>0</v>
      </c>
    </row>
    <row r="109" spans="1:3" ht="12" customHeight="1" x14ac:dyDescent="0.25">
      <c r="A109" s="13" t="s">
        <v>341</v>
      </c>
      <c r="B109" s="151" t="s">
        <v>348</v>
      </c>
      <c r="C109" s="300">
        <f>'9.1. sz. mell ÖNK'!C110</f>
        <v>0</v>
      </c>
    </row>
    <row r="110" spans="1:3" ht="12" customHeight="1" x14ac:dyDescent="0.25">
      <c r="A110" s="14" t="s">
        <v>430</v>
      </c>
      <c r="B110" s="151" t="s">
        <v>349</v>
      </c>
      <c r="C110" s="300">
        <f>'9.1. sz. mell ÖNK'!C111</f>
        <v>0</v>
      </c>
    </row>
    <row r="111" spans="1:3" ht="12" customHeight="1" x14ac:dyDescent="0.25">
      <c r="A111" s="16" t="s">
        <v>431</v>
      </c>
      <c r="B111" s="151" t="s">
        <v>350</v>
      </c>
      <c r="C111" s="300">
        <f>'9.1. sz. mell ÖNK'!C112</f>
        <v>24000000</v>
      </c>
    </row>
    <row r="112" spans="1:3" ht="12" customHeight="1" x14ac:dyDescent="0.25">
      <c r="A112" s="14" t="s">
        <v>435</v>
      </c>
      <c r="B112" s="11" t="s">
        <v>47</v>
      </c>
      <c r="C112" s="300">
        <f>'9.1. sz. mell ÖNK'!C113</f>
        <v>294222432</v>
      </c>
    </row>
    <row r="113" spans="1:3" ht="12" customHeight="1" x14ac:dyDescent="0.25">
      <c r="A113" s="14" t="s">
        <v>436</v>
      </c>
      <c r="B113" s="8" t="s">
        <v>438</v>
      </c>
      <c r="C113" s="300">
        <f>'9.1. sz. mell ÖNK'!C114</f>
        <v>0</v>
      </c>
    </row>
    <row r="114" spans="1:3" ht="12" customHeight="1" thickBot="1" x14ac:dyDescent="0.3">
      <c r="A114" s="16" t="s">
        <v>437</v>
      </c>
      <c r="B114" s="547" t="s">
        <v>439</v>
      </c>
      <c r="C114" s="300">
        <f>'9.1. sz. mell ÖNK'!C115</f>
        <v>294222432</v>
      </c>
    </row>
    <row r="115" spans="1:3" ht="12" customHeight="1" thickBot="1" x14ac:dyDescent="0.3">
      <c r="A115" s="20" t="s">
        <v>16</v>
      </c>
      <c r="B115" s="27" t="s">
        <v>351</v>
      </c>
      <c r="C115" s="296">
        <f>+C116+C118+C120</f>
        <v>624898894</v>
      </c>
    </row>
    <row r="116" spans="1:3" ht="12" customHeight="1" x14ac:dyDescent="0.25">
      <c r="A116" s="15" t="s">
        <v>98</v>
      </c>
      <c r="B116" s="8" t="s">
        <v>214</v>
      </c>
      <c r="C116" s="299">
        <f>'9.1. sz. mell ÖNK'!C117+'9.2. sz. mell HIV'!C53+'9.3. sz. mell GAM'!C52+'9.4. sz. mell ILMKS'!C52+'9.5. sz. mell OVI'!C52+'9.6. sz. mell CSSK'!C52</f>
        <v>598607962</v>
      </c>
    </row>
    <row r="117" spans="1:3" ht="12" customHeight="1" x14ac:dyDescent="0.25">
      <c r="A117" s="15" t="s">
        <v>99</v>
      </c>
      <c r="B117" s="12" t="s">
        <v>355</v>
      </c>
      <c r="C117" s="299"/>
    </row>
    <row r="118" spans="1:3" ht="12" customHeight="1" x14ac:dyDescent="0.25">
      <c r="A118" s="15" t="s">
        <v>100</v>
      </c>
      <c r="B118" s="12" t="s">
        <v>176</v>
      </c>
      <c r="C118" s="299">
        <f>'9.1. sz. mell ÖNK'!C119+'9.2. sz. mell HIV'!C54+'9.3. sz. mell GAM'!C53+'9.4. sz. mell ILMKS'!C53+'9.5. sz. mell OVI'!C53+'9.6. sz. mell CSSK'!C53</f>
        <v>24990932</v>
      </c>
    </row>
    <row r="119" spans="1:3" ht="12" customHeight="1" x14ac:dyDescent="0.25">
      <c r="A119" s="15" t="s">
        <v>101</v>
      </c>
      <c r="B119" s="12" t="s">
        <v>356</v>
      </c>
      <c r="C119" s="279"/>
    </row>
    <row r="120" spans="1:3" ht="12" customHeight="1" x14ac:dyDescent="0.25">
      <c r="A120" s="15" t="s">
        <v>102</v>
      </c>
      <c r="B120" s="293" t="s">
        <v>217</v>
      </c>
      <c r="C120" s="299">
        <f>'9.1. sz. mell ÖNK'!C121+'9.2. sz. mell HIV'!C55+'9.3. sz. mell GAM'!C54+'9.4. sz. mell ILMKS'!C54+'9.5. sz. mell OVI'!C54</f>
        <v>1300000</v>
      </c>
    </row>
    <row r="121" spans="1:3" ht="12" customHeight="1" x14ac:dyDescent="0.25">
      <c r="A121" s="15" t="s">
        <v>111</v>
      </c>
      <c r="B121" s="292" t="s">
        <v>420</v>
      </c>
      <c r="C121" s="279"/>
    </row>
    <row r="122" spans="1:3" ht="12" customHeight="1" x14ac:dyDescent="0.25">
      <c r="A122" s="15" t="s">
        <v>113</v>
      </c>
      <c r="B122" s="421" t="s">
        <v>361</v>
      </c>
      <c r="C122" s="279"/>
    </row>
    <row r="123" spans="1:3" x14ac:dyDescent="0.25">
      <c r="A123" s="15" t="s">
        <v>177</v>
      </c>
      <c r="B123" s="150" t="s">
        <v>344</v>
      </c>
      <c r="C123" s="279"/>
    </row>
    <row r="124" spans="1:3" ht="12" customHeight="1" x14ac:dyDescent="0.25">
      <c r="A124" s="15" t="s">
        <v>178</v>
      </c>
      <c r="B124" s="150" t="s">
        <v>360</v>
      </c>
      <c r="C124" s="279"/>
    </row>
    <row r="125" spans="1:3" ht="12" customHeight="1" x14ac:dyDescent="0.25">
      <c r="A125" s="15" t="s">
        <v>179</v>
      </c>
      <c r="B125" s="150" t="s">
        <v>359</v>
      </c>
      <c r="C125" s="279"/>
    </row>
    <row r="126" spans="1:3" ht="12" customHeight="1" x14ac:dyDescent="0.25">
      <c r="A126" s="15" t="s">
        <v>352</v>
      </c>
      <c r="B126" s="150" t="s">
        <v>347</v>
      </c>
      <c r="C126" s="279"/>
    </row>
    <row r="127" spans="1:3" ht="12" customHeight="1" x14ac:dyDescent="0.25">
      <c r="A127" s="15" t="s">
        <v>353</v>
      </c>
      <c r="B127" s="150" t="s">
        <v>358</v>
      </c>
      <c r="C127" s="279"/>
    </row>
    <row r="128" spans="1:3" ht="16.5" thickBot="1" x14ac:dyDescent="0.3">
      <c r="A128" s="13" t="s">
        <v>354</v>
      </c>
      <c r="B128" s="150" t="s">
        <v>357</v>
      </c>
      <c r="C128" s="281">
        <f>'9.1. sz. mell ÖNK'!C129</f>
        <v>1300000</v>
      </c>
    </row>
    <row r="129" spans="1:3" ht="12" customHeight="1" thickBot="1" x14ac:dyDescent="0.3">
      <c r="A129" s="20" t="s">
        <v>17</v>
      </c>
      <c r="B129" s="132" t="s">
        <v>440</v>
      </c>
      <c r="C129" s="296">
        <f>+C94+C115</f>
        <v>1863291403</v>
      </c>
    </row>
    <row r="130" spans="1:3" ht="12" customHeight="1" thickBot="1" x14ac:dyDescent="0.3">
      <c r="A130" s="20" t="s">
        <v>18</v>
      </c>
      <c r="B130" s="132" t="s">
        <v>441</v>
      </c>
      <c r="C130" s="296">
        <f>+C131+C132+C133</f>
        <v>5864000</v>
      </c>
    </row>
    <row r="131" spans="1:3" ht="12" customHeight="1" x14ac:dyDescent="0.25">
      <c r="A131" s="15" t="s">
        <v>256</v>
      </c>
      <c r="B131" s="12" t="s">
        <v>448</v>
      </c>
      <c r="C131" s="279">
        <f>'9.1. sz. mell ÖNK'!C132</f>
        <v>5864000</v>
      </c>
    </row>
    <row r="132" spans="1:3" ht="12" customHeight="1" x14ac:dyDescent="0.25">
      <c r="A132" s="15" t="s">
        <v>257</v>
      </c>
      <c r="B132" s="12" t="s">
        <v>449</v>
      </c>
      <c r="C132" s="279"/>
    </row>
    <row r="133" spans="1:3" ht="12" customHeight="1" thickBot="1" x14ac:dyDescent="0.3">
      <c r="A133" s="13" t="s">
        <v>258</v>
      </c>
      <c r="B133" s="12" t="s">
        <v>450</v>
      </c>
      <c r="C133" s="279"/>
    </row>
    <row r="134" spans="1:3" ht="12" customHeight="1" thickBot="1" x14ac:dyDescent="0.3">
      <c r="A134" s="20" t="s">
        <v>19</v>
      </c>
      <c r="B134" s="132" t="s">
        <v>442</v>
      </c>
      <c r="C134" s="296">
        <f>SUM(C135:C140)</f>
        <v>0</v>
      </c>
    </row>
    <row r="135" spans="1:3" ht="12" customHeight="1" x14ac:dyDescent="0.25">
      <c r="A135" s="15" t="s">
        <v>85</v>
      </c>
      <c r="B135" s="9" t="s">
        <v>451</v>
      </c>
      <c r="C135" s="279"/>
    </row>
    <row r="136" spans="1:3" ht="12" customHeight="1" x14ac:dyDescent="0.25">
      <c r="A136" s="15" t="s">
        <v>86</v>
      </c>
      <c r="B136" s="9" t="s">
        <v>443</v>
      </c>
      <c r="C136" s="279"/>
    </row>
    <row r="137" spans="1:3" ht="12" customHeight="1" x14ac:dyDescent="0.25">
      <c r="A137" s="15" t="s">
        <v>87</v>
      </c>
      <c r="B137" s="9" t="s">
        <v>444</v>
      </c>
      <c r="C137" s="279"/>
    </row>
    <row r="138" spans="1:3" ht="12" customHeight="1" x14ac:dyDescent="0.25">
      <c r="A138" s="15" t="s">
        <v>164</v>
      </c>
      <c r="B138" s="9" t="s">
        <v>445</v>
      </c>
      <c r="C138" s="279"/>
    </row>
    <row r="139" spans="1:3" ht="12" customHeight="1" x14ac:dyDescent="0.25">
      <c r="A139" s="15" t="s">
        <v>165</v>
      </c>
      <c r="B139" s="9" t="s">
        <v>446</v>
      </c>
      <c r="C139" s="279"/>
    </row>
    <row r="140" spans="1:3" ht="12" customHeight="1" thickBot="1" x14ac:dyDescent="0.3">
      <c r="A140" s="13" t="s">
        <v>166</v>
      </c>
      <c r="B140" s="9" t="s">
        <v>447</v>
      </c>
      <c r="C140" s="279"/>
    </row>
    <row r="141" spans="1:3" ht="12" customHeight="1" thickBot="1" x14ac:dyDescent="0.3">
      <c r="A141" s="20" t="s">
        <v>20</v>
      </c>
      <c r="B141" s="132" t="s">
        <v>455</v>
      </c>
      <c r="C141" s="302">
        <f>+C142+C143+C144+C145</f>
        <v>18567347</v>
      </c>
    </row>
    <row r="142" spans="1:3" ht="12" customHeight="1" x14ac:dyDescent="0.25">
      <c r="A142" s="15" t="s">
        <v>88</v>
      </c>
      <c r="B142" s="9" t="s">
        <v>362</v>
      </c>
      <c r="C142" s="279"/>
    </row>
    <row r="143" spans="1:3" ht="12" customHeight="1" x14ac:dyDescent="0.25">
      <c r="A143" s="15" t="s">
        <v>89</v>
      </c>
      <c r="B143" s="9" t="s">
        <v>363</v>
      </c>
      <c r="C143" s="279">
        <f>'9.1. sz. mell ÖNK'!C144</f>
        <v>17448337</v>
      </c>
    </row>
    <row r="144" spans="1:3" ht="12" customHeight="1" x14ac:dyDescent="0.25">
      <c r="A144" s="15" t="s">
        <v>276</v>
      </c>
      <c r="B144" s="9" t="s">
        <v>456</v>
      </c>
      <c r="C144" s="279">
        <f>'9.1. sz. mell ÖNK'!C146</f>
        <v>0</v>
      </c>
    </row>
    <row r="145" spans="1:9" ht="12" customHeight="1" thickBot="1" x14ac:dyDescent="0.3">
      <c r="A145" s="13" t="s">
        <v>277</v>
      </c>
      <c r="B145" s="7" t="s">
        <v>382</v>
      </c>
      <c r="C145" s="279">
        <f>'9.1. sz. mell ÖNK'!C147</f>
        <v>1119010</v>
      </c>
    </row>
    <row r="146" spans="1:9" ht="12" customHeight="1" thickBot="1" x14ac:dyDescent="0.3">
      <c r="A146" s="20" t="s">
        <v>21</v>
      </c>
      <c r="B146" s="132" t="s">
        <v>457</v>
      </c>
      <c r="C146" s="305">
        <f>SUM(C147:C151)</f>
        <v>0</v>
      </c>
    </row>
    <row r="147" spans="1:9" ht="12" customHeight="1" x14ac:dyDescent="0.25">
      <c r="A147" s="15" t="s">
        <v>90</v>
      </c>
      <c r="B147" s="9" t="s">
        <v>452</v>
      </c>
      <c r="C147" s="279"/>
    </row>
    <row r="148" spans="1:9" ht="12" customHeight="1" x14ac:dyDescent="0.25">
      <c r="A148" s="15" t="s">
        <v>91</v>
      </c>
      <c r="B148" s="9" t="s">
        <v>459</v>
      </c>
      <c r="C148" s="279"/>
    </row>
    <row r="149" spans="1:9" ht="12" customHeight="1" x14ac:dyDescent="0.25">
      <c r="A149" s="15" t="s">
        <v>288</v>
      </c>
      <c r="B149" s="9" t="s">
        <v>454</v>
      </c>
      <c r="C149" s="279"/>
    </row>
    <row r="150" spans="1:9" ht="12" customHeight="1" x14ac:dyDescent="0.25">
      <c r="A150" s="15" t="s">
        <v>289</v>
      </c>
      <c r="B150" s="9" t="s">
        <v>460</v>
      </c>
      <c r="C150" s="279"/>
    </row>
    <row r="151" spans="1:9" ht="12" customHeight="1" thickBot="1" x14ac:dyDescent="0.3">
      <c r="A151" s="15" t="s">
        <v>458</v>
      </c>
      <c r="B151" s="9" t="s">
        <v>461</v>
      </c>
      <c r="C151" s="279"/>
    </row>
    <row r="152" spans="1:9" ht="12" customHeight="1" thickBot="1" x14ac:dyDescent="0.3">
      <c r="A152" s="20" t="s">
        <v>22</v>
      </c>
      <c r="B152" s="132" t="s">
        <v>462</v>
      </c>
      <c r="C152" s="493"/>
    </row>
    <row r="153" spans="1:9" ht="12" customHeight="1" thickBot="1" x14ac:dyDescent="0.3">
      <c r="A153" s="20" t="s">
        <v>23</v>
      </c>
      <c r="B153" s="132" t="s">
        <v>463</v>
      </c>
      <c r="C153" s="493"/>
    </row>
    <row r="154" spans="1:9" ht="15" customHeight="1" thickBot="1" x14ac:dyDescent="0.3">
      <c r="A154" s="20" t="s">
        <v>24</v>
      </c>
      <c r="B154" s="132" t="s">
        <v>465</v>
      </c>
      <c r="C154" s="435">
        <f>+C130+C134+C141+C146+C152+C153</f>
        <v>24431347</v>
      </c>
      <c r="F154" s="436"/>
      <c r="G154" s="437"/>
      <c r="H154" s="437"/>
      <c r="I154" s="437"/>
    </row>
    <row r="155" spans="1:9" s="424" customFormat="1" ht="12.95" customHeight="1" thickBot="1" x14ac:dyDescent="0.25">
      <c r="A155" s="294" t="s">
        <v>25</v>
      </c>
      <c r="B155" s="387" t="s">
        <v>464</v>
      </c>
      <c r="C155" s="435">
        <f>+C129+C154</f>
        <v>1887722750</v>
      </c>
    </row>
    <row r="156" spans="1:9" ht="7.5" customHeight="1" x14ac:dyDescent="0.25"/>
    <row r="157" spans="1:9" x14ac:dyDescent="0.25">
      <c r="A157" s="678" t="s">
        <v>364</v>
      </c>
      <c r="B157" s="678"/>
      <c r="C157" s="678"/>
    </row>
    <row r="158" spans="1:9" ht="15" customHeight="1" thickBot="1" x14ac:dyDescent="0.3">
      <c r="A158" s="676" t="s">
        <v>147</v>
      </c>
      <c r="B158" s="676"/>
      <c r="C158" s="306" t="s">
        <v>215</v>
      </c>
    </row>
    <row r="159" spans="1:9" ht="13.5" customHeight="1" thickBot="1" x14ac:dyDescent="0.3">
      <c r="A159" s="20">
        <v>1</v>
      </c>
      <c r="B159" s="27" t="s">
        <v>466</v>
      </c>
      <c r="C159" s="296">
        <f>+C63-C129</f>
        <v>-928061618</v>
      </c>
      <c r="D159" s="438"/>
    </row>
    <row r="160" spans="1:9" ht="27.75" customHeight="1" thickBot="1" x14ac:dyDescent="0.3">
      <c r="A160" s="20" t="s">
        <v>16</v>
      </c>
      <c r="B160" s="27" t="s">
        <v>559</v>
      </c>
      <c r="C160" s="296">
        <f>+C87-C154</f>
        <v>928061618</v>
      </c>
    </row>
  </sheetData>
  <mergeCells count="6">
    <mergeCell ref="A1:C1"/>
    <mergeCell ref="A2:B2"/>
    <mergeCell ref="A91:B91"/>
    <mergeCell ref="A157:C157"/>
    <mergeCell ref="A158:B158"/>
    <mergeCell ref="A90:C90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KÖLTSÉGVETÉSÉNEK ÖSSZEVONT MÉRLEGE&amp;10
&amp;R&amp;"Times New Roman CE,Félkövér dőlt"&amp;11 1.1. melléklet a /2019. (...) önkormányzati rendelethez</oddHeader>
  </headerFooter>
  <rowBreaks count="1" manualBreakCount="1">
    <brk id="88" max="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8" sqref="C8:C58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+CONCATENATE("9.2.1. melléklet a .../",LEFT(ÖSSZEFÜGGÉSEK!A5,4),". (…...) önkormányzati rendelethez")</f>
        <v>9.2.1. melléklet a .../2019. (…...)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317500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>
        <v>250000</v>
      </c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67500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3299135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f>1739980+1559155</f>
        <v>3299135</v>
      </c>
    </row>
    <row r="24" spans="1:3" s="468" customFormat="1" ht="12" customHeight="1" thickBot="1" x14ac:dyDescent="0.25">
      <c r="A24" s="460" t="s">
        <v>101</v>
      </c>
      <c r="B24" s="8" t="s">
        <v>508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>
        <v>50000</v>
      </c>
    </row>
    <row r="26" spans="1:3" s="468" customFormat="1" ht="12" customHeight="1" thickBot="1" x14ac:dyDescent="0.25">
      <c r="A26" s="212" t="s">
        <v>18</v>
      </c>
      <c r="B26" s="132" t="s">
        <v>509</v>
      </c>
      <c r="C26" s="316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/>
    </row>
    <row r="28" spans="1:3" s="468" customFormat="1" ht="12" customHeight="1" x14ac:dyDescent="0.2">
      <c r="A28" s="461" t="s">
        <v>257</v>
      </c>
      <c r="B28" s="462" t="s">
        <v>394</v>
      </c>
      <c r="C28" s="314"/>
    </row>
    <row r="29" spans="1:3" s="468" customFormat="1" ht="12" customHeight="1" x14ac:dyDescent="0.2">
      <c r="A29" s="461" t="s">
        <v>258</v>
      </c>
      <c r="B29" s="463" t="s">
        <v>397</v>
      </c>
      <c r="C29" s="314"/>
    </row>
    <row r="30" spans="1:3" s="468" customFormat="1" ht="12" customHeight="1" thickBot="1" x14ac:dyDescent="0.25">
      <c r="A30" s="460" t="s">
        <v>259</v>
      </c>
      <c r="B30" s="148" t="s">
        <v>510</v>
      </c>
      <c r="C30" s="84"/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/>
    </row>
    <row r="33" spans="1:3" s="468" customFormat="1" ht="12" customHeight="1" x14ac:dyDescent="0.2">
      <c r="A33" s="461" t="s">
        <v>86</v>
      </c>
      <c r="B33" s="463" t="s">
        <v>280</v>
      </c>
      <c r="C33" s="317"/>
    </row>
    <row r="34" spans="1:3" s="468" customFormat="1" ht="12" customHeight="1" thickBot="1" x14ac:dyDescent="0.25">
      <c r="A34" s="460" t="s">
        <v>87</v>
      </c>
      <c r="B34" s="148" t="s">
        <v>281</v>
      </c>
      <c r="C34" s="84"/>
    </row>
    <row r="35" spans="1:3" s="373" customFormat="1" ht="12" customHeight="1" thickBot="1" x14ac:dyDescent="0.25">
      <c r="A35" s="212" t="s">
        <v>20</v>
      </c>
      <c r="B35" s="132" t="s">
        <v>367</v>
      </c>
      <c r="C35" s="343"/>
    </row>
    <row r="36" spans="1:3" s="373" customFormat="1" ht="12" customHeight="1" thickBot="1" x14ac:dyDescent="0.25">
      <c r="A36" s="212" t="s">
        <v>21</v>
      </c>
      <c r="B36" s="132" t="s">
        <v>399</v>
      </c>
      <c r="C36" s="364"/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3666635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89956775</v>
      </c>
    </row>
    <row r="39" spans="1:3" s="373" customFormat="1" ht="12" customHeight="1" x14ac:dyDescent="0.2">
      <c r="A39" s="461" t="s">
        <v>402</v>
      </c>
      <c r="B39" s="462" t="s">
        <v>224</v>
      </c>
      <c r="C39" s="77">
        <v>271282</v>
      </c>
    </row>
    <row r="40" spans="1:3" s="373" customFormat="1" ht="12" customHeight="1" x14ac:dyDescent="0.2">
      <c r="A40" s="461" t="s">
        <v>403</v>
      </c>
      <c r="B40" s="463" t="s">
        <v>2</v>
      </c>
      <c r="C40" s="317"/>
    </row>
    <row r="41" spans="1:3" s="468" customFormat="1" ht="12" customHeight="1" thickBot="1" x14ac:dyDescent="0.25">
      <c r="A41" s="460" t="s">
        <v>404</v>
      </c>
      <c r="B41" s="148" t="s">
        <v>405</v>
      </c>
      <c r="C41" s="84">
        <f>C58-C37-C39</f>
        <v>89685493</v>
      </c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93623410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93623410</v>
      </c>
    </row>
    <row r="47" spans="1:3" ht="12" customHeight="1" x14ac:dyDescent="0.2">
      <c r="A47" s="460" t="s">
        <v>92</v>
      </c>
      <c r="B47" s="9" t="s">
        <v>46</v>
      </c>
      <c r="C47" s="77">
        <f>58996190+1307800+9125245</f>
        <v>69429235</v>
      </c>
    </row>
    <row r="48" spans="1:3" ht="12" customHeight="1" x14ac:dyDescent="0.2">
      <c r="A48" s="460" t="s">
        <v>93</v>
      </c>
      <c r="B48" s="8" t="s">
        <v>172</v>
      </c>
      <c r="C48" s="80">
        <f>12690516+267191+1770154</f>
        <v>14727861</v>
      </c>
    </row>
    <row r="49" spans="1:3" ht="12" customHeight="1" x14ac:dyDescent="0.2">
      <c r="A49" s="460" t="s">
        <v>94</v>
      </c>
      <c r="B49" s="8" t="s">
        <v>134</v>
      </c>
      <c r="C49" s="80">
        <f>9187050+279264</f>
        <v>9466314</v>
      </c>
    </row>
    <row r="50" spans="1:3" ht="12" customHeight="1" x14ac:dyDescent="0.2">
      <c r="A50" s="460" t="s">
        <v>95</v>
      </c>
      <c r="B50" s="8" t="s">
        <v>173</v>
      </c>
      <c r="C50" s="80"/>
    </row>
    <row r="51" spans="1:3" ht="12" customHeight="1" thickBot="1" x14ac:dyDescent="0.25">
      <c r="A51" s="460" t="s">
        <v>141</v>
      </c>
      <c r="B51" s="8" t="s">
        <v>174</v>
      </c>
      <c r="C51" s="80"/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0</v>
      </c>
    </row>
    <row r="53" spans="1:3" s="469" customFormat="1" ht="12" customHeight="1" x14ac:dyDescent="0.2">
      <c r="A53" s="460" t="s">
        <v>98</v>
      </c>
      <c r="B53" s="9" t="s">
        <v>214</v>
      </c>
      <c r="C53" s="77"/>
    </row>
    <row r="54" spans="1:3" ht="12" customHeight="1" x14ac:dyDescent="0.2">
      <c r="A54" s="460" t="s">
        <v>99</v>
      </c>
      <c r="B54" s="8" t="s">
        <v>176</v>
      </c>
      <c r="C54" s="80"/>
    </row>
    <row r="55" spans="1:3" ht="12" customHeight="1" x14ac:dyDescent="0.2">
      <c r="A55" s="460" t="s">
        <v>100</v>
      </c>
      <c r="B55" s="8" t="s">
        <v>55</v>
      </c>
      <c r="C55" s="80"/>
    </row>
    <row r="56" spans="1:3" ht="12" customHeight="1" thickBot="1" x14ac:dyDescent="0.25">
      <c r="A56" s="460" t="s">
        <v>101</v>
      </c>
      <c r="B56" s="8" t="s">
        <v>511</v>
      </c>
      <c r="C56" s="80"/>
    </row>
    <row r="57" spans="1:3" ht="15" customHeight="1" thickBot="1" x14ac:dyDescent="0.25">
      <c r="A57" s="212" t="s">
        <v>17</v>
      </c>
      <c r="B57" s="132" t="s">
        <v>9</v>
      </c>
      <c r="C57" s="343"/>
    </row>
    <row r="58" spans="1:3" ht="13.5" thickBot="1" x14ac:dyDescent="0.25">
      <c r="A58" s="212" t="s">
        <v>18</v>
      </c>
      <c r="B58" s="255" t="s">
        <v>517</v>
      </c>
      <c r="C58" s="369">
        <f>+C46+C52+C57</f>
        <v>93623410</v>
      </c>
    </row>
    <row r="59" spans="1:3" ht="15" customHeight="1" thickBot="1" x14ac:dyDescent="0.25">
      <c r="C59" s="370"/>
    </row>
    <row r="60" spans="1:3" ht="14.25" customHeight="1" thickBot="1" x14ac:dyDescent="0.25">
      <c r="A60" s="258" t="s">
        <v>506</v>
      </c>
      <c r="B60" s="259"/>
      <c r="C60" s="129">
        <v>19</v>
      </c>
    </row>
    <row r="61" spans="1:3" ht="13.5" thickBot="1" x14ac:dyDescent="0.25">
      <c r="A61" s="258" t="s">
        <v>195</v>
      </c>
      <c r="B61" s="259"/>
      <c r="C61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+CONCATENATE("9.2.2. melléklet a …./",LEFT(ÖSSZEFÜGGÉSEK!A5,4),". (…..) önkormányzati rendelethez")</f>
        <v>9.2.2. melléklet a …./2019. (…..)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508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509</v>
      </c>
      <c r="C26" s="316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/>
    </row>
    <row r="28" spans="1:3" s="468" customFormat="1" ht="12" customHeight="1" x14ac:dyDescent="0.2">
      <c r="A28" s="461" t="s">
        <v>257</v>
      </c>
      <c r="B28" s="462" t="s">
        <v>394</v>
      </c>
      <c r="C28" s="314"/>
    </row>
    <row r="29" spans="1:3" s="468" customFormat="1" ht="12" customHeight="1" x14ac:dyDescent="0.2">
      <c r="A29" s="461" t="s">
        <v>258</v>
      </c>
      <c r="B29" s="463" t="s">
        <v>397</v>
      </c>
      <c r="C29" s="314"/>
    </row>
    <row r="30" spans="1:3" s="468" customFormat="1" ht="12" customHeight="1" thickBot="1" x14ac:dyDescent="0.25">
      <c r="A30" s="460" t="s">
        <v>259</v>
      </c>
      <c r="B30" s="148" t="s">
        <v>510</v>
      </c>
      <c r="C30" s="84"/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/>
    </row>
    <row r="33" spans="1:3" s="468" customFormat="1" ht="12" customHeight="1" x14ac:dyDescent="0.2">
      <c r="A33" s="461" t="s">
        <v>86</v>
      </c>
      <c r="B33" s="463" t="s">
        <v>280</v>
      </c>
      <c r="C33" s="317"/>
    </row>
    <row r="34" spans="1:3" s="468" customFormat="1" ht="12" customHeight="1" thickBot="1" x14ac:dyDescent="0.25">
      <c r="A34" s="460" t="s">
        <v>87</v>
      </c>
      <c r="B34" s="148" t="s">
        <v>281</v>
      </c>
      <c r="C34" s="84"/>
    </row>
    <row r="35" spans="1:3" s="373" customFormat="1" ht="12" customHeight="1" thickBot="1" x14ac:dyDescent="0.25">
      <c r="A35" s="212" t="s">
        <v>20</v>
      </c>
      <c r="B35" s="132" t="s">
        <v>367</v>
      </c>
      <c r="C35" s="343"/>
    </row>
    <row r="36" spans="1:3" s="373" customFormat="1" ht="12" customHeight="1" thickBot="1" x14ac:dyDescent="0.25">
      <c r="A36" s="212" t="s">
        <v>21</v>
      </c>
      <c r="B36" s="132" t="s">
        <v>399</v>
      </c>
      <c r="C36" s="364"/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0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0</v>
      </c>
    </row>
    <row r="39" spans="1:3" s="373" customFormat="1" ht="12" customHeight="1" x14ac:dyDescent="0.2">
      <c r="A39" s="461" t="s">
        <v>402</v>
      </c>
      <c r="B39" s="462" t="s">
        <v>224</v>
      </c>
      <c r="C39" s="77"/>
    </row>
    <row r="40" spans="1:3" s="373" customFormat="1" ht="12" customHeight="1" x14ac:dyDescent="0.2">
      <c r="A40" s="461" t="s">
        <v>403</v>
      </c>
      <c r="B40" s="463" t="s">
        <v>2</v>
      </c>
      <c r="C40" s="317"/>
    </row>
    <row r="41" spans="1:3" s="468" customFormat="1" ht="12" customHeight="1" thickBot="1" x14ac:dyDescent="0.25">
      <c r="A41" s="460" t="s">
        <v>404</v>
      </c>
      <c r="B41" s="148" t="s">
        <v>405</v>
      </c>
      <c r="C41" s="84"/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0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0</v>
      </c>
    </row>
    <row r="47" spans="1:3" ht="12" customHeight="1" x14ac:dyDescent="0.2">
      <c r="A47" s="460" t="s">
        <v>92</v>
      </c>
      <c r="B47" s="9" t="s">
        <v>46</v>
      </c>
      <c r="C47" s="77"/>
    </row>
    <row r="48" spans="1:3" ht="12" customHeight="1" x14ac:dyDescent="0.2">
      <c r="A48" s="460" t="s">
        <v>93</v>
      </c>
      <c r="B48" s="8" t="s">
        <v>172</v>
      </c>
      <c r="C48" s="80"/>
    </row>
    <row r="49" spans="1:3" ht="12" customHeight="1" x14ac:dyDescent="0.2">
      <c r="A49" s="460" t="s">
        <v>94</v>
      </c>
      <c r="B49" s="8" t="s">
        <v>134</v>
      </c>
      <c r="C49" s="80"/>
    </row>
    <row r="50" spans="1:3" ht="12" customHeight="1" x14ac:dyDescent="0.2">
      <c r="A50" s="460" t="s">
        <v>95</v>
      </c>
      <c r="B50" s="8" t="s">
        <v>173</v>
      </c>
      <c r="C50" s="80"/>
    </row>
    <row r="51" spans="1:3" ht="12" customHeight="1" thickBot="1" x14ac:dyDescent="0.25">
      <c r="A51" s="460" t="s">
        <v>141</v>
      </c>
      <c r="B51" s="8" t="s">
        <v>174</v>
      </c>
      <c r="C51" s="80"/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0</v>
      </c>
    </row>
    <row r="53" spans="1:3" s="469" customFormat="1" ht="12" customHeight="1" x14ac:dyDescent="0.2">
      <c r="A53" s="460" t="s">
        <v>98</v>
      </c>
      <c r="B53" s="9" t="s">
        <v>214</v>
      </c>
      <c r="C53" s="77"/>
    </row>
    <row r="54" spans="1:3" ht="12" customHeight="1" x14ac:dyDescent="0.2">
      <c r="A54" s="460" t="s">
        <v>99</v>
      </c>
      <c r="B54" s="8" t="s">
        <v>176</v>
      </c>
      <c r="C54" s="80"/>
    </row>
    <row r="55" spans="1:3" ht="12" customHeight="1" x14ac:dyDescent="0.2">
      <c r="A55" s="460" t="s">
        <v>100</v>
      </c>
      <c r="B55" s="8" t="s">
        <v>55</v>
      </c>
      <c r="C55" s="80"/>
    </row>
    <row r="56" spans="1:3" ht="12" customHeight="1" thickBot="1" x14ac:dyDescent="0.25">
      <c r="A56" s="460" t="s">
        <v>101</v>
      </c>
      <c r="B56" s="8" t="s">
        <v>511</v>
      </c>
      <c r="C56" s="80"/>
    </row>
    <row r="57" spans="1:3" ht="15" customHeight="1" thickBot="1" x14ac:dyDescent="0.25">
      <c r="A57" s="212" t="s">
        <v>17</v>
      </c>
      <c r="B57" s="132" t="s">
        <v>9</v>
      </c>
      <c r="C57" s="343"/>
    </row>
    <row r="58" spans="1:3" ht="13.5" thickBot="1" x14ac:dyDescent="0.25">
      <c r="A58" s="212" t="s">
        <v>18</v>
      </c>
      <c r="B58" s="255" t="s">
        <v>517</v>
      </c>
      <c r="C58" s="369">
        <f>+C46+C52+C57</f>
        <v>0</v>
      </c>
    </row>
    <row r="59" spans="1:3" ht="15" customHeight="1" thickBot="1" x14ac:dyDescent="0.25">
      <c r="C59" s="370"/>
    </row>
    <row r="60" spans="1:3" ht="14.25" customHeight="1" thickBot="1" x14ac:dyDescent="0.25">
      <c r="A60" s="258" t="s">
        <v>506</v>
      </c>
      <c r="B60" s="259"/>
      <c r="C60" s="129"/>
    </row>
    <row r="61" spans="1:3" ht="13.5" thickBot="1" x14ac:dyDescent="0.25">
      <c r="A61" s="258" t="s">
        <v>195</v>
      </c>
      <c r="B61" s="259"/>
      <c r="C61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8" sqref="C8:C58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+CONCATENATE("9.2.3. melléklet a .../",LEFT(ÖSSZEFÜGGÉSEK!A5,4),". (…...) önkormányzati rendelethez")</f>
        <v>9.2.3. melléklet a .../2019. (…...)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508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509</v>
      </c>
      <c r="C26" s="316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/>
    </row>
    <row r="28" spans="1:3" s="468" customFormat="1" ht="12" customHeight="1" x14ac:dyDescent="0.2">
      <c r="A28" s="461" t="s">
        <v>257</v>
      </c>
      <c r="B28" s="462" t="s">
        <v>394</v>
      </c>
      <c r="C28" s="314"/>
    </row>
    <row r="29" spans="1:3" s="468" customFormat="1" ht="12" customHeight="1" x14ac:dyDescent="0.2">
      <c r="A29" s="461" t="s">
        <v>258</v>
      </c>
      <c r="B29" s="463" t="s">
        <v>397</v>
      </c>
      <c r="C29" s="314"/>
    </row>
    <row r="30" spans="1:3" s="468" customFormat="1" ht="12" customHeight="1" thickBot="1" x14ac:dyDescent="0.25">
      <c r="A30" s="460" t="s">
        <v>259</v>
      </c>
      <c r="B30" s="148" t="s">
        <v>510</v>
      </c>
      <c r="C30" s="84"/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/>
    </row>
    <row r="33" spans="1:3" s="468" customFormat="1" ht="12" customHeight="1" x14ac:dyDescent="0.2">
      <c r="A33" s="461" t="s">
        <v>86</v>
      </c>
      <c r="B33" s="463" t="s">
        <v>280</v>
      </c>
      <c r="C33" s="317"/>
    </row>
    <row r="34" spans="1:3" s="468" customFormat="1" ht="12" customHeight="1" thickBot="1" x14ac:dyDescent="0.25">
      <c r="A34" s="460" t="s">
        <v>87</v>
      </c>
      <c r="B34" s="148" t="s">
        <v>281</v>
      </c>
      <c r="C34" s="84"/>
    </row>
    <row r="35" spans="1:3" s="373" customFormat="1" ht="12" customHeight="1" thickBot="1" x14ac:dyDescent="0.25">
      <c r="A35" s="212" t="s">
        <v>20</v>
      </c>
      <c r="B35" s="132" t="s">
        <v>367</v>
      </c>
      <c r="C35" s="343"/>
    </row>
    <row r="36" spans="1:3" s="373" customFormat="1" ht="12" customHeight="1" thickBot="1" x14ac:dyDescent="0.25">
      <c r="A36" s="212" t="s">
        <v>21</v>
      </c>
      <c r="B36" s="132" t="s">
        <v>399</v>
      </c>
      <c r="C36" s="364"/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0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27173582</v>
      </c>
    </row>
    <row r="39" spans="1:3" s="373" customFormat="1" ht="12" customHeight="1" x14ac:dyDescent="0.2">
      <c r="A39" s="461" t="s">
        <v>402</v>
      </c>
      <c r="B39" s="462" t="s">
        <v>224</v>
      </c>
      <c r="C39" s="77"/>
    </row>
    <row r="40" spans="1:3" s="373" customFormat="1" ht="12" customHeight="1" x14ac:dyDescent="0.2">
      <c r="A40" s="461" t="s">
        <v>403</v>
      </c>
      <c r="B40" s="463" t="s">
        <v>2</v>
      </c>
      <c r="C40" s="317"/>
    </row>
    <row r="41" spans="1:3" s="468" customFormat="1" ht="12" customHeight="1" thickBot="1" x14ac:dyDescent="0.25">
      <c r="A41" s="460" t="s">
        <v>404</v>
      </c>
      <c r="B41" s="148" t="s">
        <v>405</v>
      </c>
      <c r="C41" s="84">
        <f>C58-C37</f>
        <v>27173582</v>
      </c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27173582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27173582</v>
      </c>
    </row>
    <row r="47" spans="1:3" ht="12" customHeight="1" x14ac:dyDescent="0.2">
      <c r="A47" s="460" t="s">
        <v>92</v>
      </c>
      <c r="B47" s="9" t="s">
        <v>46</v>
      </c>
      <c r="C47" s="77">
        <f>18681211+200000+2856432</f>
        <v>21737643</v>
      </c>
    </row>
    <row r="48" spans="1:3" ht="12" customHeight="1" x14ac:dyDescent="0.2">
      <c r="A48" s="460" t="s">
        <v>93</v>
      </c>
      <c r="B48" s="8" t="s">
        <v>172</v>
      </c>
      <c r="C48" s="80">
        <f>3681836+554103</f>
        <v>4235939</v>
      </c>
    </row>
    <row r="49" spans="1:3" ht="12" customHeight="1" x14ac:dyDescent="0.2">
      <c r="A49" s="460" t="s">
        <v>94</v>
      </c>
      <c r="B49" s="8" t="s">
        <v>134</v>
      </c>
      <c r="C49" s="80">
        <v>1200000</v>
      </c>
    </row>
    <row r="50" spans="1:3" ht="12" customHeight="1" x14ac:dyDescent="0.2">
      <c r="A50" s="460" t="s">
        <v>95</v>
      </c>
      <c r="B50" s="8" t="s">
        <v>173</v>
      </c>
      <c r="C50" s="80"/>
    </row>
    <row r="51" spans="1:3" ht="12" customHeight="1" thickBot="1" x14ac:dyDescent="0.25">
      <c r="A51" s="460" t="s">
        <v>141</v>
      </c>
      <c r="B51" s="8" t="s">
        <v>174</v>
      </c>
      <c r="C51" s="80"/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0</v>
      </c>
    </row>
    <row r="53" spans="1:3" s="469" customFormat="1" ht="12" customHeight="1" x14ac:dyDescent="0.2">
      <c r="A53" s="460" t="s">
        <v>98</v>
      </c>
      <c r="B53" s="9" t="s">
        <v>214</v>
      </c>
      <c r="C53" s="77"/>
    </row>
    <row r="54" spans="1:3" ht="12" customHeight="1" x14ac:dyDescent="0.2">
      <c r="A54" s="460" t="s">
        <v>99</v>
      </c>
      <c r="B54" s="8" t="s">
        <v>176</v>
      </c>
      <c r="C54" s="80"/>
    </row>
    <row r="55" spans="1:3" ht="12" customHeight="1" x14ac:dyDescent="0.2">
      <c r="A55" s="460" t="s">
        <v>100</v>
      </c>
      <c r="B55" s="8" t="s">
        <v>55</v>
      </c>
      <c r="C55" s="80"/>
    </row>
    <row r="56" spans="1:3" ht="12" customHeight="1" thickBot="1" x14ac:dyDescent="0.25">
      <c r="A56" s="460" t="s">
        <v>101</v>
      </c>
      <c r="B56" s="8" t="s">
        <v>511</v>
      </c>
      <c r="C56" s="80"/>
    </row>
    <row r="57" spans="1:3" ht="15" customHeight="1" thickBot="1" x14ac:dyDescent="0.25">
      <c r="A57" s="212" t="s">
        <v>17</v>
      </c>
      <c r="B57" s="132" t="s">
        <v>9</v>
      </c>
      <c r="C57" s="343"/>
    </row>
    <row r="58" spans="1:3" ht="13.5" thickBot="1" x14ac:dyDescent="0.25">
      <c r="A58" s="212" t="s">
        <v>18</v>
      </c>
      <c r="B58" s="255" t="s">
        <v>517</v>
      </c>
      <c r="C58" s="369">
        <f>+C46+C52+C57</f>
        <v>27173582</v>
      </c>
    </row>
    <row r="59" spans="1:3" ht="15" customHeight="1" thickBot="1" x14ac:dyDescent="0.25">
      <c r="C59" s="370"/>
    </row>
    <row r="60" spans="1:3" ht="14.25" customHeight="1" thickBot="1" x14ac:dyDescent="0.25">
      <c r="A60" s="258" t="s">
        <v>506</v>
      </c>
      <c r="B60" s="259"/>
      <c r="C60" s="129">
        <v>5</v>
      </c>
    </row>
    <row r="61" spans="1:3" ht="13.5" thickBot="1" x14ac:dyDescent="0.25">
      <c r="A61" s="258" t="s">
        <v>195</v>
      </c>
      <c r="B61" s="259"/>
      <c r="C61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 melléklet a ….../",LEFT(ÖSSZEFÜGGÉSEK!A5,4),". (…...) önkormányzati rendelethez")</f>
        <v>9.3. melléklet a ….../2019. (…...) önkormányzati rendelethez</v>
      </c>
    </row>
    <row r="2" spans="1:3" s="465" customFormat="1" ht="25.5" customHeight="1" x14ac:dyDescent="0.2">
      <c r="A2" s="415" t="s">
        <v>193</v>
      </c>
      <c r="B2" s="357" t="s">
        <v>558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49323400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f>'9.3.1. sz. mell GAM'!C9+'9.3.2. sz. mell GAM'!C9+'9.3.3. sz. mell GAM'!C9</f>
        <v>1300000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f>'9.3.1. sz. mell GAM'!C10+'9.3.2. sz. mell GAM'!C10+'9.3.3. sz. mell GAM'!C10</f>
        <v>31174100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f>'9.3.1. sz. mell GAM'!C11+'9.3.2. sz. mell GAM'!C11+'9.3.3. sz. mell GAM'!C11</f>
        <v>525000</v>
      </c>
    </row>
    <row r="12" spans="1:3" s="373" customFormat="1" ht="12" customHeight="1" x14ac:dyDescent="0.2">
      <c r="A12" s="460" t="s">
        <v>95</v>
      </c>
      <c r="B12" s="8" t="s">
        <v>268</v>
      </c>
      <c r="C12" s="314">
        <f>'9.3.1. sz. mell GAM'!C12+'9.3.2. sz. mell GAM'!C12+'9.3.3. sz. mell GAM'!C12</f>
        <v>0</v>
      </c>
    </row>
    <row r="13" spans="1:3" s="373" customFormat="1" ht="12" customHeight="1" x14ac:dyDescent="0.2">
      <c r="A13" s="460" t="s">
        <v>141</v>
      </c>
      <c r="B13" s="8" t="s">
        <v>269</v>
      </c>
      <c r="C13" s="314">
        <f>'9.3.1. sz. mell GAM'!C13+'9.3.2. sz. mell GAM'!C13+'9.3.3. sz. mell GAM'!C13</f>
        <v>6417557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f>'9.3.1. sz. mell GAM'!C14+'9.3.2. sz. mell GAM'!C14+'9.3.3. sz. mell GAM'!C14</f>
        <v>9906743</v>
      </c>
    </row>
    <row r="15" spans="1:3" s="373" customFormat="1" ht="12" customHeight="1" x14ac:dyDescent="0.2">
      <c r="A15" s="460" t="s">
        <v>97</v>
      </c>
      <c r="B15" s="7" t="s">
        <v>392</v>
      </c>
      <c r="C15" s="314">
        <f>'9.3.1. sz. mell GAM'!C15+'9.3.2. sz. mell GAM'!C15+'9.3.3. sz. mell GAM'!C15</f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14">
        <f>'9.3.1. sz. mell GAM'!C16+'9.3.2. sz. mell GAM'!C16+'9.3.3. sz. mell GAM'!C16</f>
        <v>0</v>
      </c>
    </row>
    <row r="17" spans="1:3" s="468" customFormat="1" ht="12" customHeight="1" x14ac:dyDescent="0.2">
      <c r="A17" s="460" t="s">
        <v>108</v>
      </c>
      <c r="B17" s="8" t="s">
        <v>273</v>
      </c>
      <c r="C17" s="314">
        <f>'9.3.1. sz. mell GAM'!C17+'9.3.2. sz. mell GAM'!C17+'9.3.3. sz. mell GAM'!C17</f>
        <v>0</v>
      </c>
    </row>
    <row r="18" spans="1:3" s="468" customFormat="1" ht="12" customHeight="1" x14ac:dyDescent="0.2">
      <c r="A18" s="460" t="s">
        <v>109</v>
      </c>
      <c r="B18" s="8" t="s">
        <v>428</v>
      </c>
      <c r="C18" s="314">
        <f>'9.3.1. sz. mell GAM'!C18+'9.3.2. sz. mell GAM'!C18+'9.3.3. sz. mell GAM'!C18</f>
        <v>0</v>
      </c>
    </row>
    <row r="19" spans="1:3" s="468" customFormat="1" ht="12" customHeight="1" thickBot="1" x14ac:dyDescent="0.25">
      <c r="A19" s="460" t="s">
        <v>110</v>
      </c>
      <c r="B19" s="7" t="s">
        <v>274</v>
      </c>
      <c r="C19" s="313">
        <f>'9.3.1. sz. mell GAM'!C19+'9.3.2. sz. mell GAM'!C19+'9.3.3. sz. mell GAM'!C19</f>
        <v>0</v>
      </c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11395520</v>
      </c>
    </row>
    <row r="21" spans="1:3" s="468" customFormat="1" ht="12" customHeight="1" x14ac:dyDescent="0.2">
      <c r="A21" s="460" t="s">
        <v>98</v>
      </c>
      <c r="B21" s="9" t="s">
        <v>246</v>
      </c>
      <c r="C21" s="314">
        <f>'9.3.1. sz. mell GAM'!C21+'9.3.2. sz. mell GAM'!C21+'9.3.3. sz. mell GAM'!C21</f>
        <v>0</v>
      </c>
    </row>
    <row r="22" spans="1:3" s="468" customFormat="1" ht="12" customHeight="1" x14ac:dyDescent="0.2">
      <c r="A22" s="460" t="s">
        <v>99</v>
      </c>
      <c r="B22" s="8" t="s">
        <v>394</v>
      </c>
      <c r="C22" s="314">
        <f>'9.3.1. sz. mell GAM'!C22+'9.3.2. sz. mell GAM'!C22+'9.3.3. sz. mell GAM'!C22</f>
        <v>0</v>
      </c>
    </row>
    <row r="23" spans="1:3" s="468" customFormat="1" ht="12" customHeight="1" x14ac:dyDescent="0.2">
      <c r="A23" s="460" t="s">
        <v>100</v>
      </c>
      <c r="B23" s="8" t="s">
        <v>395</v>
      </c>
      <c r="C23" s="314">
        <f>'9.3.1. sz. mell GAM'!C23+'9.3.2. sz. mell GAM'!C23+'9.3.3. sz. mell GAM'!C23</f>
        <v>11395520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>
        <f>'9.3.1. sz. mell GAM'!C24+'9.3.2. sz. mell GAM'!C24+'9.3.3. sz. mell GAM'!C24</f>
        <v>0</v>
      </c>
    </row>
    <row r="25" spans="1:3" s="468" customFormat="1" ht="12" customHeight="1" thickBot="1" x14ac:dyDescent="0.25">
      <c r="A25" s="212" t="s">
        <v>17</v>
      </c>
      <c r="B25" s="132" t="s">
        <v>163</v>
      </c>
      <c r="C25" s="343">
        <f>'9.3.1. sz. mell GAM'!C25+'9.3.2. sz. mell GAM'!C25+'9.3.3. sz. mell GAM'!C25</f>
        <v>0</v>
      </c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>
        <f>'9.3.1. sz. mell GAM'!C27+'9.3.2. sz. mell GAM'!C27+'9.3.3. sz. mell GAM'!C27</f>
        <v>0</v>
      </c>
    </row>
    <row r="28" spans="1:3" s="468" customFormat="1" ht="12" customHeight="1" x14ac:dyDescent="0.2">
      <c r="A28" s="461" t="s">
        <v>257</v>
      </c>
      <c r="B28" s="463" t="s">
        <v>397</v>
      </c>
      <c r="C28" s="77">
        <f>'9.3.1. sz. mell GAM'!C28+'9.3.2. sz. mell GAM'!C28+'9.3.3. sz. mell GAM'!C28</f>
        <v>0</v>
      </c>
    </row>
    <row r="29" spans="1:3" s="468" customFormat="1" ht="12" customHeight="1" thickBot="1" x14ac:dyDescent="0.25">
      <c r="A29" s="460" t="s">
        <v>258</v>
      </c>
      <c r="B29" s="148" t="s">
        <v>513</v>
      </c>
      <c r="C29" s="77">
        <f>'9.3.1. sz. mell GAM'!C29+'9.3.2. sz. mell GAM'!C29+'9.3.3. sz. mell GAM'!C29</f>
        <v>0</v>
      </c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>
        <f>'9.3.1. sz. mell GAM'!C31+'9.3.2. sz. mell GAM'!C31+'9.3.3. sz. mell GAM'!C31</f>
        <v>0</v>
      </c>
    </row>
    <row r="32" spans="1:3" s="468" customFormat="1" ht="12" customHeight="1" x14ac:dyDescent="0.2">
      <c r="A32" s="461" t="s">
        <v>86</v>
      </c>
      <c r="B32" s="463" t="s">
        <v>280</v>
      </c>
      <c r="C32" s="77">
        <f>'9.3.1. sz. mell GAM'!C32+'9.3.2. sz. mell GAM'!C32+'9.3.3. sz. mell GAM'!C32</f>
        <v>0</v>
      </c>
    </row>
    <row r="33" spans="1:3" s="468" customFormat="1" ht="12" customHeight="1" thickBot="1" x14ac:dyDescent="0.25">
      <c r="A33" s="460" t="s">
        <v>87</v>
      </c>
      <c r="B33" s="148" t="s">
        <v>281</v>
      </c>
      <c r="C33" s="77">
        <f>'9.3.1. sz. mell GAM'!C33+'9.3.2. sz. mell GAM'!C33+'9.3.3. sz. mell GAM'!C33</f>
        <v>0</v>
      </c>
    </row>
    <row r="34" spans="1:3" s="373" customFormat="1" ht="12" customHeight="1" thickBot="1" x14ac:dyDescent="0.25">
      <c r="A34" s="212" t="s">
        <v>20</v>
      </c>
      <c r="B34" s="132" t="s">
        <v>367</v>
      </c>
      <c r="C34" s="343">
        <f>'9.3.1. sz. mell GAM'!C34+'9.3.2. sz. mell GAM'!C34+'9.3.3. sz. mell GAM'!C34</f>
        <v>0</v>
      </c>
    </row>
    <row r="35" spans="1:3" s="373" customFormat="1" ht="12" customHeight="1" thickBot="1" x14ac:dyDescent="0.25">
      <c r="A35" s="212" t="s">
        <v>21</v>
      </c>
      <c r="B35" s="132" t="s">
        <v>399</v>
      </c>
      <c r="C35" s="343">
        <f>'9.3.1. sz. mell GAM'!C35+'9.3.2. sz. mell GAM'!C35+'9.3.3. sz. mell GAM'!C35</f>
        <v>0</v>
      </c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60718920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180764594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f>'9.3.1. sz. mell GAM'!C38+'9.3.2. sz. mell GAM'!C38+'9.3.3. sz. mell GAM'!C38</f>
        <v>103450</v>
      </c>
    </row>
    <row r="39" spans="1:3" s="373" customFormat="1" ht="12" customHeight="1" x14ac:dyDescent="0.2">
      <c r="A39" s="461" t="s">
        <v>403</v>
      </c>
      <c r="B39" s="463" t="s">
        <v>2</v>
      </c>
      <c r="C39" s="77">
        <f>'9.3.1. sz. mell GAM'!C39+'9.3.2. sz. mell GAM'!C39+'9.3.3. sz. mell GAM'!C39</f>
        <v>0</v>
      </c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'9.3.1. sz. mell GAM'!C40+'9.3.2. sz. mell GAM'!C40+'9.3.3. sz. mell GAM'!C40</f>
        <v>180661144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241483514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237493149</v>
      </c>
    </row>
    <row r="46" spans="1:3" ht="12" customHeight="1" x14ac:dyDescent="0.2">
      <c r="A46" s="460" t="s">
        <v>92</v>
      </c>
      <c r="B46" s="9" t="s">
        <v>46</v>
      </c>
      <c r="C46" s="77">
        <f>'9.3.1. sz. mell GAM'!C46+'9.3.2. sz. mell GAM'!C46+'9.3.3. sz. mell GAM'!C46</f>
        <v>106177735</v>
      </c>
    </row>
    <row r="47" spans="1:3" ht="12" customHeight="1" x14ac:dyDescent="0.2">
      <c r="A47" s="460" t="s">
        <v>93</v>
      </c>
      <c r="B47" s="8" t="s">
        <v>172</v>
      </c>
      <c r="C47" s="77">
        <f>'9.3.1. sz. mell GAM'!C47+'9.3.2. sz. mell GAM'!C47+'9.3.3. sz. mell GAM'!C47</f>
        <v>20704659</v>
      </c>
    </row>
    <row r="48" spans="1:3" ht="12" customHeight="1" x14ac:dyDescent="0.2">
      <c r="A48" s="460" t="s">
        <v>94</v>
      </c>
      <c r="B48" s="8" t="s">
        <v>134</v>
      </c>
      <c r="C48" s="77">
        <f>'9.3.1. sz. mell GAM'!C48+'9.3.2. sz. mell GAM'!C48+'9.3.3. sz. mell GAM'!C48</f>
        <v>110610755</v>
      </c>
    </row>
    <row r="49" spans="1:3" ht="12" customHeight="1" x14ac:dyDescent="0.2">
      <c r="A49" s="460" t="s">
        <v>95</v>
      </c>
      <c r="B49" s="8" t="s">
        <v>173</v>
      </c>
      <c r="C49" s="77">
        <f>'9.3.1. sz. mell GAM'!C49+'9.3.2. sz. mell GAM'!C49+'9.3.3. sz. mell GAM'!C49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'9.3.1. sz. mell GAM'!C50+'9.3.2. sz. mell GAM'!C50+'9.3.3. sz. mell GAM'!C50</f>
        <v>0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3990365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'9.3.1. sz. mell GAM'!C52+'9.3.2. sz. mell GAM'!C52+'9.3.3. sz. mell GAM'!C52</f>
        <v>2300000</v>
      </c>
    </row>
    <row r="53" spans="1:3" ht="12" customHeight="1" x14ac:dyDescent="0.2">
      <c r="A53" s="460" t="s">
        <v>99</v>
      </c>
      <c r="B53" s="8" t="s">
        <v>176</v>
      </c>
      <c r="C53" s="77">
        <f>'9.3.1. sz. mell GAM'!C53+'9.3.2. sz. mell GAM'!C53+'9.3.3. sz. mell GAM'!C53</f>
        <v>1690365</v>
      </c>
    </row>
    <row r="54" spans="1:3" ht="12" customHeight="1" x14ac:dyDescent="0.2">
      <c r="A54" s="460" t="s">
        <v>100</v>
      </c>
      <c r="B54" s="8" t="s">
        <v>55</v>
      </c>
      <c r="C54" s="77">
        <f>'9.3.1. sz. mell GAM'!C54+'9.3.2. sz. mell GAM'!C54+'9.3.3. sz. mell GAM'!C54</f>
        <v>0</v>
      </c>
    </row>
    <row r="55" spans="1:3" ht="12" customHeight="1" thickBot="1" x14ac:dyDescent="0.25">
      <c r="A55" s="460" t="s">
        <v>101</v>
      </c>
      <c r="B55" s="8" t="s">
        <v>511</v>
      </c>
      <c r="C55" s="77">
        <f>'9.3.1. sz. mell GAM'!C55+'9.3.2. sz. mell GAM'!C55+'9.3.3. sz. mell GAM'!C55</f>
        <v>0</v>
      </c>
    </row>
    <row r="56" spans="1:3" ht="15" customHeight="1" thickBot="1" x14ac:dyDescent="0.25">
      <c r="A56" s="212" t="s">
        <v>17</v>
      </c>
      <c r="B56" s="132" t="s">
        <v>9</v>
      </c>
      <c r="C56" s="343">
        <f>'9.3.1. sz. mell GAM'!C56+'9.3.2. sz. mell GAM'!C56+'9.3.3. sz. mell GAM'!C56</f>
        <v>0</v>
      </c>
    </row>
    <row r="57" spans="1:3" ht="13.5" thickBot="1" x14ac:dyDescent="0.25">
      <c r="A57" s="212" t="s">
        <v>18</v>
      </c>
      <c r="B57" s="255" t="s">
        <v>517</v>
      </c>
      <c r="C57" s="369">
        <f>+C45+C51+C56</f>
        <v>241483514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>
        <f>'9.3.1. sz. mell GAM'!C59+'9.3.2. sz. mell GAM'!C59+'9.3.3. sz. mell GAM'!C59</f>
        <v>49</v>
      </c>
    </row>
    <row r="60" spans="1:3" ht="13.5" thickBot="1" x14ac:dyDescent="0.25">
      <c r="A60" s="258" t="s">
        <v>195</v>
      </c>
      <c r="B60" s="259"/>
      <c r="C60" s="129">
        <f>'9.3.1. sz. mell GAM'!C60+'9.3.2. sz. mell GAM'!C60+'9.3.3. sz. mell GAM'!C60</f>
        <v>0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+CONCATENATE("9.3.1. melléklet a .../",LEFT(ÖSSZEFÜGGÉSEK!A5,4),". (…...) önkormányzati rendelethez")</f>
        <v>9.3.1. melléklet a .../2019. (…...) önkormányzati rendelethez</v>
      </c>
    </row>
    <row r="2" spans="1:3" s="465" customFormat="1" ht="25.5" customHeight="1" x14ac:dyDescent="0.2">
      <c r="A2" s="415" t="s">
        <v>193</v>
      </c>
      <c r="B2" s="357" t="s">
        <v>558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17645663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>
        <f>6200000+1331000</f>
        <v>7531000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v>525000</v>
      </c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>
        <v>6417557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f>2812741+359365</f>
        <v>3172106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8546640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v>8546640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26192303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178042459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v>103450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C57-C36-C38</f>
        <v>177939009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204234762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200244397</v>
      </c>
    </row>
    <row r="46" spans="1:3" ht="12" customHeight="1" x14ac:dyDescent="0.2">
      <c r="A46" s="460" t="s">
        <v>92</v>
      </c>
      <c r="B46" s="9" t="s">
        <v>46</v>
      </c>
      <c r="C46" s="77">
        <v>96405235</v>
      </c>
    </row>
    <row r="47" spans="1:3" ht="12" customHeight="1" x14ac:dyDescent="0.2">
      <c r="A47" s="460" t="s">
        <v>93</v>
      </c>
      <c r="B47" s="8" t="s">
        <v>172</v>
      </c>
      <c r="C47" s="80">
        <v>18799021</v>
      </c>
    </row>
    <row r="48" spans="1:3" ht="12" customHeight="1" x14ac:dyDescent="0.2">
      <c r="A48" s="460" t="s">
        <v>94</v>
      </c>
      <c r="B48" s="8" t="s">
        <v>134</v>
      </c>
      <c r="C48" s="80">
        <v>85040141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3990365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v>2300000</v>
      </c>
    </row>
    <row r="53" spans="1:3" ht="12" customHeight="1" x14ac:dyDescent="0.2">
      <c r="A53" s="460" t="s">
        <v>99</v>
      </c>
      <c r="B53" s="8" t="s">
        <v>176</v>
      </c>
      <c r="C53" s="80">
        <v>1690365</v>
      </c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204234762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>
        <v>41</v>
      </c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4" zoomScaleNormal="100" workbookViewId="0">
      <selection activeCell="C24" sqref="C24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+CONCATENATE("9.3.2. melléklet a …./",LEFT(ÖSSZEFÜGGÉSEK!A5,4),". (…...) önkormányzati rendelethez")</f>
        <v>9.3.2.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558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31677737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v>1300000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v>23643100</v>
      </c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6734637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2848880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v>2848880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34526617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2722135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</f>
        <v>2722135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37248752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37248752</v>
      </c>
    </row>
    <row r="46" spans="1:3" ht="12" customHeight="1" x14ac:dyDescent="0.2">
      <c r="A46" s="460" t="s">
        <v>92</v>
      </c>
      <c r="B46" s="9" t="s">
        <v>46</v>
      </c>
      <c r="C46" s="77">
        <v>9772500</v>
      </c>
    </row>
    <row r="47" spans="1:3" ht="12" customHeight="1" x14ac:dyDescent="0.2">
      <c r="A47" s="460" t="s">
        <v>93</v>
      </c>
      <c r="B47" s="8" t="s">
        <v>172</v>
      </c>
      <c r="C47" s="80">
        <v>1905638</v>
      </c>
    </row>
    <row r="48" spans="1:3" ht="12" customHeight="1" x14ac:dyDescent="0.2">
      <c r="A48" s="460" t="s">
        <v>94</v>
      </c>
      <c r="B48" s="8" t="s">
        <v>134</v>
      </c>
      <c r="C48" s="80">
        <v>25570614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37248752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>
        <v>8</v>
      </c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+CONCATENATE("9.3.3. melléklet a …./",LEFT(ÖSSZEFÜGGÉSEK!A5,4),". (…...) önkormányzati rendelethez")</f>
        <v>9.3.3.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558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 melléklet a …../",LEFT(ÖSSZEFÜGGÉSEK!A5,4),". (…...) önkormányzati rendelethez")</f>
        <v>9.4. melléklet a …../2019. (…...)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15136450</v>
      </c>
    </row>
    <row r="9" spans="1:3" s="373" customFormat="1" ht="12" customHeight="1" x14ac:dyDescent="0.2">
      <c r="A9" s="459" t="s">
        <v>92</v>
      </c>
      <c r="B9" s="10" t="s">
        <v>265</v>
      </c>
      <c r="C9" s="535">
        <f>'9.4.1. sz. mell ILMKS'!C9+'9.4.2. sz. mell ILMKS'!C9+'9.4.3. sz. mell ILMKS'!C9</f>
        <v>2515000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f>'9.4.1. sz. mell ILMKS'!C10+'9.4.2. sz. mell ILMKS'!C10+'9.4.3. sz. mell ILMKS'!C10</f>
        <v>10620000</v>
      </c>
    </row>
    <row r="11" spans="1:3" s="373" customFormat="1" ht="12" customHeight="1" x14ac:dyDescent="0.2">
      <c r="A11" s="460" t="s">
        <v>94</v>
      </c>
      <c r="B11" s="8" t="s">
        <v>267</v>
      </c>
      <c r="C11" s="363">
        <f>'9.4.1. sz. mell ILMKS'!C11+'9.4.2. sz. mell ILMKS'!C11+'9.4.3. sz. mell ILMKS'!C11</f>
        <v>0</v>
      </c>
    </row>
    <row r="12" spans="1:3" s="373" customFormat="1" ht="12" customHeight="1" x14ac:dyDescent="0.2">
      <c r="A12" s="460" t="s">
        <v>95</v>
      </c>
      <c r="B12" s="8" t="s">
        <v>268</v>
      </c>
      <c r="C12" s="314">
        <f>'9.4.1. sz. mell ILMKS'!C12+'9.4.2. sz. mell ILMKS'!C12+'9.4.3. sz. mell ILMKS'!C12</f>
        <v>0</v>
      </c>
    </row>
    <row r="13" spans="1:3" s="373" customFormat="1" ht="12" customHeight="1" x14ac:dyDescent="0.2">
      <c r="A13" s="460" t="s">
        <v>141</v>
      </c>
      <c r="B13" s="8" t="s">
        <v>269</v>
      </c>
      <c r="C13" s="363">
        <f>'9.4.1. sz. mell ILMKS'!C13+'9.4.2. sz. mell ILMKS'!C13+'9.4.3. sz. mell ILMKS'!C13</f>
        <v>0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f>'9.4.1. sz. mell ILMKS'!C14+'9.4.2. sz. mell ILMKS'!C14+'9.4.3. sz. mell ILMKS'!C14</f>
        <v>2001450</v>
      </c>
    </row>
    <row r="15" spans="1:3" s="373" customFormat="1" ht="12" customHeight="1" x14ac:dyDescent="0.2">
      <c r="A15" s="460" t="s">
        <v>97</v>
      </c>
      <c r="B15" s="7" t="s">
        <v>392</v>
      </c>
      <c r="C15" s="363">
        <f>'9.4.1. sz. mell ILMKS'!C15+'9.4.2. sz. mell ILMKS'!C15+'9.4.3. sz. mell ILMKS'!C15</f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14">
        <f>'9.4.1. sz. mell ILMKS'!C16+'9.4.2. sz. mell ILMKS'!C16+'9.4.3. sz. mell ILMKS'!C16</f>
        <v>0</v>
      </c>
    </row>
    <row r="17" spans="1:3" s="468" customFormat="1" ht="12" customHeight="1" x14ac:dyDescent="0.2">
      <c r="A17" s="460" t="s">
        <v>108</v>
      </c>
      <c r="B17" s="8" t="s">
        <v>273</v>
      </c>
      <c r="C17" s="363">
        <f>'9.4.1. sz. mell ILMKS'!C17+'9.4.2. sz. mell ILMKS'!C17+'9.4.3. sz. mell ILMKS'!C17</f>
        <v>0</v>
      </c>
    </row>
    <row r="18" spans="1:3" s="468" customFormat="1" ht="12" customHeight="1" x14ac:dyDescent="0.2">
      <c r="A18" s="460" t="s">
        <v>109</v>
      </c>
      <c r="B18" s="8" t="s">
        <v>428</v>
      </c>
      <c r="C18" s="314">
        <f>'9.4.1. sz. mell ILMKS'!C18+'9.4.2. sz. mell ILMKS'!C18+'9.4.3. sz. mell ILMKS'!C18</f>
        <v>0</v>
      </c>
    </row>
    <row r="19" spans="1:3" s="468" customFormat="1" ht="12" customHeight="1" thickBot="1" x14ac:dyDescent="0.25">
      <c r="A19" s="460" t="s">
        <v>110</v>
      </c>
      <c r="B19" s="7" t="s">
        <v>274</v>
      </c>
      <c r="C19" s="313">
        <f>'9.4.1. sz. mell ILMKS'!C19+'9.4.2. sz. mell ILMKS'!C19+'9.4.3. sz. mell ILMKS'!C19</f>
        <v>0</v>
      </c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4043372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f>+'9.4.1. sz. mell ILMKS'!C23</f>
        <v>4043372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320001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>
        <f>+'9.4.1. sz. mell ILMKS'!C28</f>
        <v>320001</v>
      </c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19499823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44918691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f>+'9.4.1. sz. mell ILMKS'!C38</f>
        <v>987298</v>
      </c>
    </row>
    <row r="39" spans="1:3" s="373" customFormat="1" ht="12" customHeight="1" x14ac:dyDescent="0.2">
      <c r="A39" s="461" t="s">
        <v>403</v>
      </c>
      <c r="B39" s="463" t="s">
        <v>2</v>
      </c>
      <c r="C39" s="317">
        <f>+'9.4.2. sz. mell ILMKS'!C39</f>
        <v>930546</v>
      </c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'9.4.1. sz. mell ILMKS'!C40+'9.4.2. sz. mell ILMKS'!C40+'9.4.3. sz. mell ILMKS'!C40</f>
        <v>43000847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64418514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63337513</v>
      </c>
    </row>
    <row r="46" spans="1:3" ht="12" customHeight="1" x14ac:dyDescent="0.2">
      <c r="A46" s="460" t="s">
        <v>92</v>
      </c>
      <c r="B46" s="9" t="s">
        <v>46</v>
      </c>
      <c r="C46" s="77">
        <f>'9.4.1. sz. mell ILMKS'!C46+'9.4.2. sz. mell ILMKS'!C46+'9.4.3. sz. mell ILMKS'!C46</f>
        <v>30069914</v>
      </c>
    </row>
    <row r="47" spans="1:3" ht="12" customHeight="1" x14ac:dyDescent="0.2">
      <c r="A47" s="460" t="s">
        <v>93</v>
      </c>
      <c r="B47" s="8" t="s">
        <v>172</v>
      </c>
      <c r="C47" s="77">
        <f>'9.4.1. sz. mell ILMKS'!C47+'9.4.2. sz. mell ILMKS'!C47+'9.4.3. sz. mell ILMKS'!C47</f>
        <v>6213633</v>
      </c>
    </row>
    <row r="48" spans="1:3" ht="12" customHeight="1" x14ac:dyDescent="0.2">
      <c r="A48" s="460" t="s">
        <v>94</v>
      </c>
      <c r="B48" s="8" t="s">
        <v>134</v>
      </c>
      <c r="C48" s="77">
        <f>'9.4.1. sz. mell ILMKS'!C48+'9.4.2. sz. mell ILMKS'!C48+'9.4.3. sz. mell ILMKS'!C48</f>
        <v>26970217</v>
      </c>
    </row>
    <row r="49" spans="1:3" ht="12" customHeight="1" x14ac:dyDescent="0.2">
      <c r="A49" s="460" t="s">
        <v>95</v>
      </c>
      <c r="B49" s="8" t="s">
        <v>173</v>
      </c>
      <c r="C49" s="77">
        <f>'9.4.1. sz. mell ILMKS'!C49+'9.4.2. sz. mell ILMKS'!C49+'9.4.3. sz. mell ILMKS'!C49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'9.4.1. sz. mell ILMKS'!C50+'9.4.2. sz. mell ILMKS'!C50+'9.4.3. sz. mell ILMKS'!C50</f>
        <v>83749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1081001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'9.4.1. sz. mell ILMKS'!C52+'9.4.2. sz. mell ILMKS'!C52+'9.4.3. sz. mell ILMKS'!C52</f>
        <v>781001</v>
      </c>
    </row>
    <row r="53" spans="1:3" ht="12" customHeight="1" x14ac:dyDescent="0.2">
      <c r="A53" s="460" t="s">
        <v>99</v>
      </c>
      <c r="B53" s="8" t="s">
        <v>176</v>
      </c>
      <c r="C53" s="77">
        <f>'9.4.1. sz. mell ILMKS'!C53+'9.4.2. sz. mell ILMKS'!C53+'9.4.3. sz. mell ILMKS'!C53</f>
        <v>300000</v>
      </c>
    </row>
    <row r="54" spans="1:3" ht="12" customHeight="1" x14ac:dyDescent="0.2">
      <c r="A54" s="460" t="s">
        <v>100</v>
      </c>
      <c r="B54" s="8" t="s">
        <v>55</v>
      </c>
      <c r="C54" s="77">
        <f>'9.4.1. sz. mell ILMKS'!C54+'9.4.2. sz. mell ILMKS'!C54+'9.4.3. sz. mell ILMKS'!C54</f>
        <v>0</v>
      </c>
    </row>
    <row r="55" spans="1:3" ht="12" customHeight="1" thickBot="1" x14ac:dyDescent="0.25">
      <c r="A55" s="460" t="s">
        <v>101</v>
      </c>
      <c r="B55" s="8" t="s">
        <v>511</v>
      </c>
      <c r="C55" s="77">
        <f>'9.4.1. sz. mell ILMKS'!C55+'9.4.2. sz. mell ILMKS'!C55+'9.4.3. sz. mell ILMKS'!C55</f>
        <v>0</v>
      </c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64418514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+CONCATENATE("9.4.1. melléklet a …./",LEFT(ÖSSZEFÜGGÉSEK!A5,4),". (…...) önkormányzati rendelethez")</f>
        <v>9.4.1.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13866450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v>1515000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v>10620000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v>0</v>
      </c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1731450</v>
      </c>
    </row>
    <row r="15" spans="1:3" s="373" customFormat="1" ht="12" customHeight="1" x14ac:dyDescent="0.2">
      <c r="A15" s="460" t="s">
        <v>97</v>
      </c>
      <c r="B15" s="7" t="s">
        <v>392</v>
      </c>
      <c r="C15" s="314"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4043372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v>4043372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320001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>
        <v>320001</v>
      </c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18229823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43988145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v>987298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C57-C36-C38</f>
        <v>43000847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62217968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61136967</v>
      </c>
    </row>
    <row r="46" spans="1:3" ht="12" customHeight="1" x14ac:dyDescent="0.2">
      <c r="A46" s="460" t="s">
        <v>92</v>
      </c>
      <c r="B46" s="9" t="s">
        <v>46</v>
      </c>
      <c r="C46" s="77">
        <v>30069914</v>
      </c>
    </row>
    <row r="47" spans="1:3" ht="12" customHeight="1" x14ac:dyDescent="0.2">
      <c r="A47" s="460" t="s">
        <v>93</v>
      </c>
      <c r="B47" s="8" t="s">
        <v>172</v>
      </c>
      <c r="C47" s="80">
        <v>6213633</v>
      </c>
    </row>
    <row r="48" spans="1:3" ht="12" customHeight="1" x14ac:dyDescent="0.2">
      <c r="A48" s="460" t="s">
        <v>94</v>
      </c>
      <c r="B48" s="8" t="s">
        <v>134</v>
      </c>
      <c r="C48" s="80">
        <v>24853420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1081001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v>781001</v>
      </c>
    </row>
    <row r="53" spans="1:3" ht="12" customHeight="1" x14ac:dyDescent="0.2">
      <c r="A53" s="460" t="s">
        <v>99</v>
      </c>
      <c r="B53" s="8" t="s">
        <v>176</v>
      </c>
      <c r="C53" s="80">
        <v>300000</v>
      </c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62217968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+CONCATENATE("9.4.2. melléklet a …./",LEFT(ÖSSZEFÜGGÉSEK!A5,4),". (…..) önkormányzati rendelethez")</f>
        <v>9.4.2. melléklet a …./2019. (…..)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1270000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v>1000000</v>
      </c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270000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1270000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930546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>
        <v>930546</v>
      </c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2200546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2200546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>
        <f>1270000+846797</f>
        <v>2116797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>
        <v>83749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2200546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0"/>
  <sheetViews>
    <sheetView view="pageLayout" topLeftCell="A131" zoomScaleNormal="130" zoomScaleSheetLayoutView="100" workbookViewId="0">
      <selection activeCell="C94" sqref="C94:C155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5" t="s">
        <v>12</v>
      </c>
      <c r="B1" s="675"/>
      <c r="C1" s="675"/>
    </row>
    <row r="2" spans="1:3" ht="15.95" customHeight="1" thickBot="1" x14ac:dyDescent="0.3">
      <c r="A2" s="676" t="s">
        <v>145</v>
      </c>
      <c r="B2" s="676"/>
      <c r="C2" s="306" t="s">
        <v>563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2019.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+C6+C7+C8+C9+C10+C11</f>
        <v>494605474</v>
      </c>
    </row>
    <row r="6" spans="1:3" s="424" customFormat="1" ht="12" customHeight="1" x14ac:dyDescent="0.2">
      <c r="A6" s="15" t="s">
        <v>92</v>
      </c>
      <c r="B6" s="425" t="s">
        <v>241</v>
      </c>
      <c r="C6" s="299">
        <f>'9.1.1. sz. mell ÖNK'!C9</f>
        <v>205364731</v>
      </c>
    </row>
    <row r="7" spans="1:3" s="424" customFormat="1" ht="12" customHeight="1" x14ac:dyDescent="0.2">
      <c r="A7" s="14" t="s">
        <v>93</v>
      </c>
      <c r="B7" s="426" t="s">
        <v>242</v>
      </c>
      <c r="C7" s="299">
        <f>'9.1.1. sz. mell ÖNK'!C10</f>
        <v>67194367</v>
      </c>
    </row>
    <row r="8" spans="1:3" s="424" customFormat="1" ht="12" customHeight="1" x14ac:dyDescent="0.2">
      <c r="A8" s="14" t="s">
        <v>94</v>
      </c>
      <c r="B8" s="426" t="s">
        <v>538</v>
      </c>
      <c r="C8" s="299">
        <f>'9.1.1. sz. mell ÖNK'!C11</f>
        <v>179020908</v>
      </c>
    </row>
    <row r="9" spans="1:3" s="424" customFormat="1" ht="12" customHeight="1" x14ac:dyDescent="0.2">
      <c r="A9" s="14" t="s">
        <v>95</v>
      </c>
      <c r="B9" s="426" t="s">
        <v>244</v>
      </c>
      <c r="C9" s="299">
        <f>'9.1.1. sz. mell ÖNK'!C12</f>
        <v>8433700</v>
      </c>
    </row>
    <row r="10" spans="1:3" s="424" customFormat="1" ht="12" customHeight="1" x14ac:dyDescent="0.2">
      <c r="A10" s="14" t="s">
        <v>141</v>
      </c>
      <c r="B10" s="292" t="s">
        <v>424</v>
      </c>
      <c r="C10" s="299">
        <f>'9.1.1. sz. mell ÖNK'!C13</f>
        <v>34591768</v>
      </c>
    </row>
    <row r="11" spans="1:3" s="424" customFormat="1" ht="12" customHeight="1" thickBot="1" x14ac:dyDescent="0.25">
      <c r="A11" s="16" t="s">
        <v>96</v>
      </c>
      <c r="B11" s="293" t="s">
        <v>425</v>
      </c>
      <c r="C11" s="299">
        <f>'9.1.1. sz. mell ÖNK'!C14</f>
        <v>0</v>
      </c>
    </row>
    <row r="12" spans="1:3" s="424" customFormat="1" ht="12" customHeight="1" thickBot="1" x14ac:dyDescent="0.25">
      <c r="A12" s="20" t="s">
        <v>16</v>
      </c>
      <c r="B12" s="291" t="s">
        <v>245</v>
      </c>
      <c r="C12" s="296">
        <f>+C13+C14+C15+C16+C17</f>
        <v>156285390</v>
      </c>
    </row>
    <row r="13" spans="1:3" s="424" customFormat="1" ht="12" customHeight="1" x14ac:dyDescent="0.2">
      <c r="A13" s="15" t="s">
        <v>98</v>
      </c>
      <c r="B13" s="425" t="s">
        <v>246</v>
      </c>
      <c r="C13" s="299">
        <f>'9.1.1. sz. mell ÖNK'!C16</f>
        <v>0</v>
      </c>
    </row>
    <row r="14" spans="1:3" s="424" customFormat="1" ht="12" customHeight="1" x14ac:dyDescent="0.2">
      <c r="A14" s="14" t="s">
        <v>99</v>
      </c>
      <c r="B14" s="426" t="s">
        <v>247</v>
      </c>
      <c r="C14" s="299">
        <f>'9.1.1. sz. mell ÖNK'!C17</f>
        <v>0</v>
      </c>
    </row>
    <row r="15" spans="1:3" s="424" customFormat="1" ht="12" customHeight="1" x14ac:dyDescent="0.2">
      <c r="A15" s="14" t="s">
        <v>100</v>
      </c>
      <c r="B15" s="426" t="s">
        <v>414</v>
      </c>
      <c r="C15" s="299">
        <f>'9.1.1. sz. mell ÖNK'!C18</f>
        <v>0</v>
      </c>
    </row>
    <row r="16" spans="1:3" s="424" customFormat="1" ht="12" customHeight="1" x14ac:dyDescent="0.2">
      <c r="A16" s="14" t="s">
        <v>101</v>
      </c>
      <c r="B16" s="426" t="s">
        <v>415</v>
      </c>
      <c r="C16" s="299">
        <f>'9.1.1. sz. mell ÖNK'!C19</f>
        <v>0</v>
      </c>
    </row>
    <row r="17" spans="1:3" s="424" customFormat="1" ht="12" customHeight="1" x14ac:dyDescent="0.2">
      <c r="A17" s="14" t="s">
        <v>102</v>
      </c>
      <c r="B17" s="426" t="s">
        <v>248</v>
      </c>
      <c r="C17" s="299">
        <f>'9.1.1. sz. mell ÖNK'!C20+'9.3. sz. mell GAM'!C23+'9.4. sz. mell ILMKS'!C23+'9.2.1. sz. mell HIV'!C23</f>
        <v>156285390</v>
      </c>
    </row>
    <row r="18" spans="1:3" s="424" customFormat="1" ht="12" customHeight="1" thickBot="1" x14ac:dyDescent="0.25">
      <c r="A18" s="16" t="s">
        <v>111</v>
      </c>
      <c r="B18" s="293" t="s">
        <v>249</v>
      </c>
      <c r="C18" s="299">
        <f>'9.1.1. sz. mell ÖNK'!C21</f>
        <v>0</v>
      </c>
    </row>
    <row r="19" spans="1:3" s="424" customFormat="1" ht="12" customHeight="1" thickBot="1" x14ac:dyDescent="0.25">
      <c r="A19" s="20" t="s">
        <v>17</v>
      </c>
      <c r="B19" s="21" t="s">
        <v>250</v>
      </c>
      <c r="C19" s="296">
        <f>+C20+C21+C22+C23+C24</f>
        <v>17831266</v>
      </c>
    </row>
    <row r="20" spans="1:3" s="424" customFormat="1" ht="12" customHeight="1" x14ac:dyDescent="0.2">
      <c r="A20" s="15" t="s">
        <v>81</v>
      </c>
      <c r="B20" s="425" t="s">
        <v>251</v>
      </c>
      <c r="C20" s="299">
        <f>'9.1.1. sz. mell ÖNK'!C23</f>
        <v>0</v>
      </c>
    </row>
    <row r="21" spans="1:3" s="424" customFormat="1" ht="12" customHeight="1" x14ac:dyDescent="0.2">
      <c r="A21" s="14" t="s">
        <v>82</v>
      </c>
      <c r="B21" s="426" t="s">
        <v>252</v>
      </c>
      <c r="C21" s="299">
        <f>'9.1.1. sz. mell ÖNK'!C24</f>
        <v>0</v>
      </c>
    </row>
    <row r="22" spans="1:3" s="424" customFormat="1" ht="12" customHeight="1" x14ac:dyDescent="0.2">
      <c r="A22" s="14" t="s">
        <v>83</v>
      </c>
      <c r="B22" s="426" t="s">
        <v>416</v>
      </c>
      <c r="C22" s="299">
        <f>'9.1.1. sz. mell ÖNK'!C25</f>
        <v>0</v>
      </c>
    </row>
    <row r="23" spans="1:3" s="424" customFormat="1" ht="12" customHeight="1" x14ac:dyDescent="0.2">
      <c r="A23" s="14" t="s">
        <v>84</v>
      </c>
      <c r="B23" s="426" t="s">
        <v>417</v>
      </c>
      <c r="C23" s="299">
        <f>'9.1.1. sz. mell ÖNK'!C26</f>
        <v>0</v>
      </c>
    </row>
    <row r="24" spans="1:3" s="424" customFormat="1" ht="12" customHeight="1" x14ac:dyDescent="0.2">
      <c r="A24" s="14" t="s">
        <v>160</v>
      </c>
      <c r="B24" s="426" t="s">
        <v>253</v>
      </c>
      <c r="C24" s="299">
        <f>'9.1.1. sz. mell ÖNK'!C27+'9.4.1. sz. mell ILMKS'!C28</f>
        <v>17831266</v>
      </c>
    </row>
    <row r="25" spans="1:3" s="424" customFormat="1" ht="12" customHeight="1" thickBot="1" x14ac:dyDescent="0.25">
      <c r="A25" s="16" t="s">
        <v>161</v>
      </c>
      <c r="B25" s="427" t="s">
        <v>254</v>
      </c>
      <c r="C25" s="299">
        <f>'9.1.1. sz. mell ÖNK'!C28</f>
        <v>0</v>
      </c>
    </row>
    <row r="26" spans="1:3" s="424" customFormat="1" ht="12" customHeight="1" thickBot="1" x14ac:dyDescent="0.25">
      <c r="A26" s="20" t="s">
        <v>162</v>
      </c>
      <c r="B26" s="21" t="s">
        <v>548</v>
      </c>
      <c r="C26" s="302">
        <f>SUM(C27:C34)+'9.2.1. sz. mell HIV'!C25</f>
        <v>118820710</v>
      </c>
    </row>
    <row r="27" spans="1:3" s="424" customFormat="1" ht="12" customHeight="1" x14ac:dyDescent="0.2">
      <c r="A27" s="15" t="s">
        <v>256</v>
      </c>
      <c r="B27" s="425" t="s">
        <v>543</v>
      </c>
      <c r="C27" s="299">
        <f>'9.1.1. sz. mell ÖNK'!C30</f>
        <v>0</v>
      </c>
    </row>
    <row r="28" spans="1:3" s="424" customFormat="1" ht="12" customHeight="1" x14ac:dyDescent="0.2">
      <c r="A28" s="14" t="s">
        <v>257</v>
      </c>
      <c r="B28" s="426" t="s">
        <v>544</v>
      </c>
      <c r="C28" s="299">
        <f>'9.1.1. sz. mell ÖNK'!C31</f>
        <v>15000</v>
      </c>
    </row>
    <row r="29" spans="1:3" s="424" customFormat="1" ht="12" customHeight="1" x14ac:dyDescent="0.2">
      <c r="A29" s="14" t="s">
        <v>258</v>
      </c>
      <c r="B29" s="426" t="s">
        <v>628</v>
      </c>
      <c r="C29" s="299">
        <f>'9.1.1. sz. mell ÖNK'!C32</f>
        <v>17100000</v>
      </c>
    </row>
    <row r="30" spans="1:3" s="424" customFormat="1" ht="12" customHeight="1" x14ac:dyDescent="0.2">
      <c r="A30" s="14" t="s">
        <v>259</v>
      </c>
      <c r="B30" s="426" t="s">
        <v>545</v>
      </c>
      <c r="C30" s="299">
        <f>'9.1.1. sz. mell ÖNK'!C33</f>
        <v>85245710</v>
      </c>
    </row>
    <row r="31" spans="1:3" s="424" customFormat="1" ht="12" customHeight="1" x14ac:dyDescent="0.2">
      <c r="A31" s="14" t="s">
        <v>540</v>
      </c>
      <c r="B31" s="426" t="s">
        <v>546</v>
      </c>
      <c r="C31" s="299">
        <f>'9.1.1. sz. mell ÖNK'!C34</f>
        <v>10000</v>
      </c>
    </row>
    <row r="32" spans="1:3" s="424" customFormat="1" ht="12" customHeight="1" x14ac:dyDescent="0.2">
      <c r="A32" s="14" t="s">
        <v>541</v>
      </c>
      <c r="B32" s="426" t="s">
        <v>260</v>
      </c>
      <c r="C32" s="299">
        <f>'9.1.1. sz. mell ÖNK'!C35</f>
        <v>15000000</v>
      </c>
    </row>
    <row r="33" spans="1:3" s="424" customFormat="1" ht="12" customHeight="1" x14ac:dyDescent="0.2">
      <c r="A33" s="16" t="s">
        <v>542</v>
      </c>
      <c r="B33" s="426" t="s">
        <v>261</v>
      </c>
      <c r="C33" s="299">
        <f>'9.1.1. sz. mell ÖNK'!C36</f>
        <v>0</v>
      </c>
    </row>
    <row r="34" spans="1:3" s="424" customFormat="1" ht="12" customHeight="1" thickBot="1" x14ac:dyDescent="0.25">
      <c r="A34" s="16" t="s">
        <v>629</v>
      </c>
      <c r="B34" s="522" t="s">
        <v>262</v>
      </c>
      <c r="C34" s="299">
        <f>'9.1.1. sz. mell ÖNK'!C37</f>
        <v>1400000</v>
      </c>
    </row>
    <row r="35" spans="1:3" s="424" customFormat="1" ht="12" customHeight="1" thickBot="1" x14ac:dyDescent="0.25">
      <c r="A35" s="20" t="s">
        <v>19</v>
      </c>
      <c r="B35" s="21" t="s">
        <v>426</v>
      </c>
      <c r="C35" s="296">
        <f>SUM(C36:C46)</f>
        <v>45789566</v>
      </c>
    </row>
    <row r="36" spans="1:3" s="424" customFormat="1" ht="12" customHeight="1" x14ac:dyDescent="0.2">
      <c r="A36" s="15" t="s">
        <v>85</v>
      </c>
      <c r="B36" s="425" t="s">
        <v>265</v>
      </c>
      <c r="C36" s="299">
        <f>'9.1.1. sz. mell ÖNK'!C39+'9.2.1. sz. mell HIV'!C9+'9.3.1. sz. mell GAM'!C9+'9.4.1. sz. mell ILMKS'!C9+'9.5.1. sz. mell OVI'!C9</f>
        <v>2847941</v>
      </c>
    </row>
    <row r="37" spans="1:3" s="424" customFormat="1" ht="12" customHeight="1" x14ac:dyDescent="0.2">
      <c r="A37" s="14" t="s">
        <v>86</v>
      </c>
      <c r="B37" s="426" t="s">
        <v>266</v>
      </c>
      <c r="C37" s="299">
        <f>'9.1.1. sz. mell ÖNK'!C40+'9.2.1. sz. mell HIV'!C10+'9.3.1. sz. mell GAM'!C10+'9.4.1. sz. mell ILMKS'!C10+'9.5.1. sz. mell OVI'!C10</f>
        <v>26701000</v>
      </c>
    </row>
    <row r="38" spans="1:3" s="424" customFormat="1" ht="12" customHeight="1" x14ac:dyDescent="0.2">
      <c r="A38" s="14" t="s">
        <v>87</v>
      </c>
      <c r="B38" s="426" t="s">
        <v>267</v>
      </c>
      <c r="C38" s="299">
        <f>'9.1.1. sz. mell ÖNK'!C41+'9.2.1. sz. mell HIV'!C11+'9.3.1. sz. mell GAM'!C11+'9.4.1. sz. mell ILMKS'!C11+'9.5.1. sz. mell OVI'!C11</f>
        <v>3325000</v>
      </c>
    </row>
    <row r="39" spans="1:3" s="424" customFormat="1" ht="12" customHeight="1" x14ac:dyDescent="0.2">
      <c r="A39" s="14" t="s">
        <v>164</v>
      </c>
      <c r="B39" s="426" t="s">
        <v>268</v>
      </c>
      <c r="C39" s="299">
        <f>'9.1.1. sz. mell ÖNK'!C42+'9.2.1. sz. mell HIV'!C12+'9.3.1. sz. mell GAM'!C12+'9.4.1. sz. mell ILMKS'!C12+'9.5.1. sz. mell OVI'!C12</f>
        <v>0</v>
      </c>
    </row>
    <row r="40" spans="1:3" s="424" customFormat="1" ht="12" customHeight="1" x14ac:dyDescent="0.2">
      <c r="A40" s="14" t="s">
        <v>165</v>
      </c>
      <c r="B40" s="426" t="s">
        <v>269</v>
      </c>
      <c r="C40" s="299">
        <f>'9.1.1. sz. mell ÖNK'!C43+'9.2.1. sz. mell HIV'!C13+'9.3.1. sz. mell GAM'!C13+'9.4.1. sz. mell ILMKS'!C13+'9.5.1. sz. mell OVI'!C13</f>
        <v>6417557</v>
      </c>
    </row>
    <row r="41" spans="1:3" s="424" customFormat="1" ht="12" customHeight="1" x14ac:dyDescent="0.2">
      <c r="A41" s="14" t="s">
        <v>166</v>
      </c>
      <c r="B41" s="426" t="s">
        <v>270</v>
      </c>
      <c r="C41" s="299">
        <f>'9.1.1. sz. mell ÖNK'!C44+'9.2.1. sz. mell HIV'!C14+'9.3.1. sz. mell GAM'!C14+'9.4.1. sz. mell ILMKS'!C14+'9.5.1. sz. mell OVI'!C14</f>
        <v>6498068</v>
      </c>
    </row>
    <row r="42" spans="1:3" s="424" customFormat="1" ht="12" customHeight="1" x14ac:dyDescent="0.2">
      <c r="A42" s="14" t="s">
        <v>167</v>
      </c>
      <c r="B42" s="426" t="s">
        <v>271</v>
      </c>
      <c r="C42" s="299">
        <f>'9.1.1. sz. mell ÖNK'!C45+'9.2.1. sz. mell HIV'!C15+'9.3.1. sz. mell GAM'!C15+'9.4.1. sz. mell ILMKS'!C15+'9.5.1. sz. mell OVI'!C15</f>
        <v>0</v>
      </c>
    </row>
    <row r="43" spans="1:3" s="424" customFormat="1" ht="12" customHeight="1" x14ac:dyDescent="0.2">
      <c r="A43" s="14" t="s">
        <v>168</v>
      </c>
      <c r="B43" s="426" t="s">
        <v>547</v>
      </c>
      <c r="C43" s="299">
        <f>'9.1.1. sz. mell ÖNK'!C46+'9.2.1. sz. mell HIV'!C16+'9.3.1. sz. mell GAM'!C16+'9.4.1. sz. mell ILMKS'!C16+'9.5.1. sz. mell OVI'!C16</f>
        <v>0</v>
      </c>
    </row>
    <row r="44" spans="1:3" s="424" customFormat="1" ht="12" customHeight="1" x14ac:dyDescent="0.2">
      <c r="A44" s="14" t="s">
        <v>263</v>
      </c>
      <c r="B44" s="426" t="s">
        <v>273</v>
      </c>
      <c r="C44" s="299">
        <f>'9.1.1. sz. mell ÖNK'!C47+'9.2.1. sz. mell HIV'!C17+'9.3.1. sz. mell GAM'!C17+'9.4.1. sz. mell ILMKS'!C17+'9.5.1. sz. mell OVI'!C17</f>
        <v>0</v>
      </c>
    </row>
    <row r="45" spans="1:3" s="424" customFormat="1" ht="12" customHeight="1" x14ac:dyDescent="0.2">
      <c r="A45" s="16" t="s">
        <v>264</v>
      </c>
      <c r="B45" s="427" t="s">
        <v>428</v>
      </c>
      <c r="C45" s="299">
        <f>'9.1.1. sz. mell ÖNK'!C48+'9.2.1. sz. mell HIV'!C18+'9.3.1. sz. mell GAM'!C18+'9.4.1. sz. mell ILMKS'!C18+'9.5.1. sz. mell OVI'!C18</f>
        <v>0</v>
      </c>
    </row>
    <row r="46" spans="1:3" s="424" customFormat="1" ht="12" customHeight="1" thickBot="1" x14ac:dyDescent="0.25">
      <c r="A46" s="16" t="s">
        <v>427</v>
      </c>
      <c r="B46" s="293" t="s">
        <v>274</v>
      </c>
      <c r="C46" s="299">
        <f>'9.1.1. sz. mell ÖNK'!C49+'9.2.1. sz. mell HIV'!C19+'9.3.1. sz. mell GAM'!C19+'9.4.1. sz. mell ILMKS'!C19+'9.5.1. sz. mell OVI'!C19</f>
        <v>0</v>
      </c>
    </row>
    <row r="47" spans="1:3" s="424" customFormat="1" ht="12" customHeight="1" thickBot="1" x14ac:dyDescent="0.25">
      <c r="A47" s="20" t="s">
        <v>20</v>
      </c>
      <c r="B47" s="21" t="s">
        <v>275</v>
      </c>
      <c r="C47" s="296">
        <f>SUM(C48:C52)</f>
        <v>57540240</v>
      </c>
    </row>
    <row r="48" spans="1:3" s="424" customFormat="1" ht="12" customHeight="1" x14ac:dyDescent="0.2">
      <c r="A48" s="15" t="s">
        <v>88</v>
      </c>
      <c r="B48" s="425" t="s">
        <v>279</v>
      </c>
      <c r="C48" s="470">
        <f>'9.1.1. sz. mell ÖNK'!C51+'9.2.1. sz. mell HIV'!C32+'9.3.1. sz. mell GAM'!C31+'9.4.1. sz. mell ILMKS'!C31+'9.5.1. sz. mell OVI'!C31</f>
        <v>0</v>
      </c>
    </row>
    <row r="49" spans="1:3" s="424" customFormat="1" ht="12" customHeight="1" x14ac:dyDescent="0.2">
      <c r="A49" s="14" t="s">
        <v>89</v>
      </c>
      <c r="B49" s="426" t="s">
        <v>280</v>
      </c>
      <c r="C49" s="470">
        <f>'9.1.1. sz. mell ÖNK'!C52+'9.2.1. sz. mell HIV'!C33+'9.3.1. sz. mell GAM'!C32+'9.4.1. sz. mell ILMKS'!C32+'9.5.1. sz. mell OVI'!C32</f>
        <v>55760240</v>
      </c>
    </row>
    <row r="50" spans="1:3" s="424" customFormat="1" ht="12" customHeight="1" x14ac:dyDescent="0.2">
      <c r="A50" s="14" t="s">
        <v>276</v>
      </c>
      <c r="B50" s="426" t="s">
        <v>281</v>
      </c>
      <c r="C50" s="470">
        <f>'9.1.1. sz. mell ÖNK'!C53+'9.2.1. sz. mell HIV'!C34+'9.3.1. sz. mell GAM'!C33+'9.4.1. sz. mell ILMKS'!C33+'9.5.1. sz. mell OVI'!C33</f>
        <v>1780000</v>
      </c>
    </row>
    <row r="51" spans="1:3" s="424" customFormat="1" ht="12" customHeight="1" x14ac:dyDescent="0.2">
      <c r="A51" s="14" t="s">
        <v>277</v>
      </c>
      <c r="B51" s="426" t="s">
        <v>282</v>
      </c>
      <c r="C51" s="301"/>
    </row>
    <row r="52" spans="1:3" s="424" customFormat="1" ht="12" customHeight="1" thickBot="1" x14ac:dyDescent="0.25">
      <c r="A52" s="16" t="s">
        <v>278</v>
      </c>
      <c r="B52" s="293" t="s">
        <v>283</v>
      </c>
      <c r="C52" s="411"/>
    </row>
    <row r="53" spans="1:3" s="424" customFormat="1" ht="12" customHeight="1" thickBot="1" x14ac:dyDescent="0.25">
      <c r="A53" s="20" t="s">
        <v>169</v>
      </c>
      <c r="B53" s="21" t="s">
        <v>284</v>
      </c>
      <c r="C53" s="296">
        <f>SUM(C54:C56)</f>
        <v>0</v>
      </c>
    </row>
    <row r="54" spans="1:3" s="424" customFormat="1" ht="12" customHeight="1" x14ac:dyDescent="0.2">
      <c r="A54" s="15" t="s">
        <v>90</v>
      </c>
      <c r="B54" s="425" t="s">
        <v>285</v>
      </c>
      <c r="C54" s="299">
        <f>'9.1.1. sz. mell ÖNK'!C57</f>
        <v>0</v>
      </c>
    </row>
    <row r="55" spans="1:3" s="424" customFormat="1" ht="12" customHeight="1" x14ac:dyDescent="0.2">
      <c r="A55" s="14" t="s">
        <v>91</v>
      </c>
      <c r="B55" s="426" t="s">
        <v>418</v>
      </c>
      <c r="C55" s="299">
        <f>'9.1.1. sz. mell ÖNK'!C58</f>
        <v>0</v>
      </c>
    </row>
    <row r="56" spans="1:3" s="424" customFormat="1" ht="12" customHeight="1" x14ac:dyDescent="0.2">
      <c r="A56" s="14" t="s">
        <v>288</v>
      </c>
      <c r="B56" s="426" t="s">
        <v>286</v>
      </c>
      <c r="C56" s="299">
        <f>'9.1.1. sz. mell ÖNK'!C59</f>
        <v>0</v>
      </c>
    </row>
    <row r="57" spans="1:3" s="424" customFormat="1" ht="12" customHeight="1" thickBot="1" x14ac:dyDescent="0.25">
      <c r="A57" s="16" t="s">
        <v>289</v>
      </c>
      <c r="B57" s="293" t="s">
        <v>287</v>
      </c>
      <c r="C57" s="299">
        <f>'9.1.1. sz. mell ÖNK'!C60</f>
        <v>0</v>
      </c>
    </row>
    <row r="58" spans="1:3" s="424" customFormat="1" ht="12" customHeight="1" thickBot="1" x14ac:dyDescent="0.25">
      <c r="A58" s="20" t="s">
        <v>22</v>
      </c>
      <c r="B58" s="291" t="s">
        <v>290</v>
      </c>
      <c r="C58" s="296">
        <f>SUM(C59:C61)</f>
        <v>410000</v>
      </c>
    </row>
    <row r="59" spans="1:3" s="424" customFormat="1" ht="12" customHeight="1" x14ac:dyDescent="0.2">
      <c r="A59" s="15" t="s">
        <v>170</v>
      </c>
      <c r="B59" s="425" t="s">
        <v>292</v>
      </c>
      <c r="C59" s="301">
        <f>'9.1.1. sz. mell ÖNK'!C62</f>
        <v>0</v>
      </c>
    </row>
    <row r="60" spans="1:3" s="424" customFormat="1" ht="12" customHeight="1" x14ac:dyDescent="0.2">
      <c r="A60" s="14" t="s">
        <v>171</v>
      </c>
      <c r="B60" s="426" t="s">
        <v>419</v>
      </c>
      <c r="C60" s="301">
        <f>'9.1.1. sz. mell ÖNK'!C63</f>
        <v>410000</v>
      </c>
    </row>
    <row r="61" spans="1:3" s="424" customFormat="1" ht="12" customHeight="1" x14ac:dyDescent="0.2">
      <c r="A61" s="14" t="s">
        <v>216</v>
      </c>
      <c r="B61" s="426" t="s">
        <v>293</v>
      </c>
      <c r="C61" s="301">
        <f>'9.1.1. sz. mell ÖNK'!C64</f>
        <v>0</v>
      </c>
    </row>
    <row r="62" spans="1:3" s="424" customFormat="1" ht="12" customHeight="1" thickBot="1" x14ac:dyDescent="0.25">
      <c r="A62" s="16" t="s">
        <v>291</v>
      </c>
      <c r="B62" s="293" t="s">
        <v>294</v>
      </c>
      <c r="C62" s="301">
        <f>'9.1.1. sz. mell ÖNK'!C65</f>
        <v>0</v>
      </c>
    </row>
    <row r="63" spans="1:3" s="424" customFormat="1" ht="12" customHeight="1" thickBot="1" x14ac:dyDescent="0.25">
      <c r="A63" s="494" t="s">
        <v>468</v>
      </c>
      <c r="B63" s="21" t="s">
        <v>295</v>
      </c>
      <c r="C63" s="302">
        <f>+C5+C12+C19+C26+C35+C47+C53+C58</f>
        <v>891282646</v>
      </c>
    </row>
    <row r="64" spans="1:3" s="424" customFormat="1" ht="12" customHeight="1" thickBot="1" x14ac:dyDescent="0.25">
      <c r="A64" s="473" t="s">
        <v>296</v>
      </c>
      <c r="B64" s="291" t="s">
        <v>297</v>
      </c>
      <c r="C64" s="296">
        <f>SUM(C65:C67)</f>
        <v>0</v>
      </c>
    </row>
    <row r="65" spans="1:3" s="424" customFormat="1" ht="12" customHeight="1" x14ac:dyDescent="0.2">
      <c r="A65" s="15" t="s">
        <v>328</v>
      </c>
      <c r="B65" s="425" t="s">
        <v>298</v>
      </c>
      <c r="C65" s="301">
        <f>'9.1.1. sz. mell ÖNK'!C68</f>
        <v>0</v>
      </c>
    </row>
    <row r="66" spans="1:3" s="424" customFormat="1" ht="12" customHeight="1" x14ac:dyDescent="0.2">
      <c r="A66" s="14" t="s">
        <v>337</v>
      </c>
      <c r="B66" s="426" t="s">
        <v>299</v>
      </c>
      <c r="C66" s="301">
        <f>'9.1.1. sz. mell ÖNK'!C69</f>
        <v>0</v>
      </c>
    </row>
    <row r="67" spans="1:3" s="424" customFormat="1" ht="12" customHeight="1" thickBot="1" x14ac:dyDescent="0.25">
      <c r="A67" s="16" t="s">
        <v>338</v>
      </c>
      <c r="B67" s="488" t="s">
        <v>453</v>
      </c>
      <c r="C67" s="301">
        <f>'9.1.1. sz. mell ÖNK'!C70</f>
        <v>0</v>
      </c>
    </row>
    <row r="68" spans="1:3" s="424" customFormat="1" ht="12" customHeight="1" thickBot="1" x14ac:dyDescent="0.25">
      <c r="A68" s="473" t="s">
        <v>301</v>
      </c>
      <c r="B68" s="291" t="s">
        <v>302</v>
      </c>
      <c r="C68" s="296">
        <f>SUM(C69:C72)</f>
        <v>0</v>
      </c>
    </row>
    <row r="69" spans="1:3" s="424" customFormat="1" ht="12" customHeight="1" x14ac:dyDescent="0.2">
      <c r="A69" s="15" t="s">
        <v>142</v>
      </c>
      <c r="B69" s="425" t="s">
        <v>303</v>
      </c>
      <c r="C69" s="301">
        <f>'9.1.1. sz. mell ÖNK'!C72</f>
        <v>0</v>
      </c>
    </row>
    <row r="70" spans="1:3" s="424" customFormat="1" ht="12" customHeight="1" x14ac:dyDescent="0.2">
      <c r="A70" s="14" t="s">
        <v>143</v>
      </c>
      <c r="B70" s="426" t="s">
        <v>304</v>
      </c>
      <c r="C70" s="301">
        <f>'9.1.1. sz. mell ÖNK'!C73</f>
        <v>0</v>
      </c>
    </row>
    <row r="71" spans="1:3" s="424" customFormat="1" ht="12" customHeight="1" x14ac:dyDescent="0.2">
      <c r="A71" s="14" t="s">
        <v>329</v>
      </c>
      <c r="B71" s="426" t="s">
        <v>305</v>
      </c>
      <c r="C71" s="301">
        <f>'9.1.1. sz. mell ÖNK'!C74</f>
        <v>0</v>
      </c>
    </row>
    <row r="72" spans="1:3" s="424" customFormat="1" ht="12" customHeight="1" thickBot="1" x14ac:dyDescent="0.25">
      <c r="A72" s="16" t="s">
        <v>330</v>
      </c>
      <c r="B72" s="293" t="s">
        <v>306</v>
      </c>
      <c r="C72" s="301">
        <f>'9.1.1. sz. mell ÖNK'!C75</f>
        <v>0</v>
      </c>
    </row>
    <row r="73" spans="1:3" s="424" customFormat="1" ht="12" customHeight="1" thickBot="1" x14ac:dyDescent="0.25">
      <c r="A73" s="473" t="s">
        <v>307</v>
      </c>
      <c r="B73" s="291" t="s">
        <v>308</v>
      </c>
      <c r="C73" s="296">
        <f>SUM(C74:C75)</f>
        <v>951562419</v>
      </c>
    </row>
    <row r="74" spans="1:3" s="424" customFormat="1" ht="12" customHeight="1" x14ac:dyDescent="0.2">
      <c r="A74" s="15" t="s">
        <v>331</v>
      </c>
      <c r="B74" s="425" t="s">
        <v>309</v>
      </c>
      <c r="C74" s="301">
        <f>'9.1.1. sz. mell ÖNK'!C77+'9.2.1. sz. mell HIV'!C39+'9.3.1. sz. mell GAM'!C38+'9.4.1. sz. mell ILMKS'!C38+'9.5.1. sz. mell OVI'!C38+'9.6.1. sz. mell CSSK'!C38</f>
        <v>951562419</v>
      </c>
    </row>
    <row r="75" spans="1:3" s="424" customFormat="1" ht="12" customHeight="1" thickBot="1" x14ac:dyDescent="0.25">
      <c r="A75" s="16" t="s">
        <v>332</v>
      </c>
      <c r="B75" s="293" t="s">
        <v>310</v>
      </c>
      <c r="C75" s="301">
        <f>'9.1.1. sz. mell ÖNK'!C78+'9.2.1. sz. mell HIV'!C40+'9.3.1. sz. mell GAM'!C39+'9.4.1. sz. mell ILMKS'!C39+'9.5.1. sz. mell OVI'!C39</f>
        <v>0</v>
      </c>
    </row>
    <row r="76" spans="1:3" s="424" customFormat="1" ht="12" customHeight="1" thickBot="1" x14ac:dyDescent="0.25">
      <c r="A76" s="473" t="s">
        <v>311</v>
      </c>
      <c r="B76" s="291" t="s">
        <v>312</v>
      </c>
      <c r="C76" s="296">
        <f>SUM(C77:C79)</f>
        <v>0</v>
      </c>
    </row>
    <row r="77" spans="1:3" s="424" customFormat="1" ht="12" customHeight="1" x14ac:dyDescent="0.2">
      <c r="A77" s="15" t="s">
        <v>333</v>
      </c>
      <c r="B77" s="425" t="s">
        <v>313</v>
      </c>
      <c r="C77" s="301">
        <f>'9.1.1. sz. mell ÖNK'!C80</f>
        <v>0</v>
      </c>
    </row>
    <row r="78" spans="1:3" s="424" customFormat="1" ht="12" customHeight="1" x14ac:dyDescent="0.2">
      <c r="A78" s="14" t="s">
        <v>334</v>
      </c>
      <c r="B78" s="426" t="s">
        <v>314</v>
      </c>
      <c r="C78" s="301">
        <f>'9.1.1. sz. mell ÖNK'!C81</f>
        <v>0</v>
      </c>
    </row>
    <row r="79" spans="1:3" s="424" customFormat="1" ht="12" customHeight="1" thickBot="1" x14ac:dyDescent="0.25">
      <c r="A79" s="16" t="s">
        <v>335</v>
      </c>
      <c r="B79" s="293" t="s">
        <v>315</v>
      </c>
      <c r="C79" s="301">
        <f>'9.1.1. sz. mell ÖNK'!C82</f>
        <v>0</v>
      </c>
    </row>
    <row r="80" spans="1:3" s="424" customFormat="1" ht="12" customHeight="1" thickBot="1" x14ac:dyDescent="0.25">
      <c r="A80" s="473" t="s">
        <v>316</v>
      </c>
      <c r="B80" s="291" t="s">
        <v>336</v>
      </c>
      <c r="C80" s="296">
        <f>SUM(C81:C84)</f>
        <v>0</v>
      </c>
    </row>
    <row r="81" spans="1:3" s="424" customFormat="1" ht="12" customHeight="1" x14ac:dyDescent="0.2">
      <c r="A81" s="429" t="s">
        <v>317</v>
      </c>
      <c r="B81" s="425" t="s">
        <v>318</v>
      </c>
      <c r="C81" s="301">
        <f>'9.1.1. sz. mell ÖNK'!C84</f>
        <v>0</v>
      </c>
    </row>
    <row r="82" spans="1:3" s="424" customFormat="1" ht="12" customHeight="1" x14ac:dyDescent="0.2">
      <c r="A82" s="430" t="s">
        <v>319</v>
      </c>
      <c r="B82" s="426" t="s">
        <v>320</v>
      </c>
      <c r="C82" s="301">
        <f>'9.1.1. sz. mell ÖNK'!C85</f>
        <v>0</v>
      </c>
    </row>
    <row r="83" spans="1:3" s="424" customFormat="1" ht="12" customHeight="1" x14ac:dyDescent="0.2">
      <c r="A83" s="430" t="s">
        <v>321</v>
      </c>
      <c r="B83" s="426" t="s">
        <v>322</v>
      </c>
      <c r="C83" s="301">
        <f>'9.1.1. sz. mell ÖNK'!C86</f>
        <v>0</v>
      </c>
    </row>
    <row r="84" spans="1:3" s="424" customFormat="1" ht="12" customHeight="1" thickBot="1" x14ac:dyDescent="0.25">
      <c r="A84" s="431" t="s">
        <v>323</v>
      </c>
      <c r="B84" s="293" t="s">
        <v>324</v>
      </c>
      <c r="C84" s="301">
        <f>'9.1.1. sz. mell ÖNK'!C87</f>
        <v>0</v>
      </c>
    </row>
    <row r="85" spans="1:3" s="424" customFormat="1" ht="12" customHeight="1" thickBot="1" x14ac:dyDescent="0.25">
      <c r="A85" s="473" t="s">
        <v>325</v>
      </c>
      <c r="B85" s="291" t="s">
        <v>467</v>
      </c>
      <c r="C85" s="471"/>
    </row>
    <row r="86" spans="1:3" s="424" customFormat="1" ht="13.5" customHeight="1" thickBot="1" x14ac:dyDescent="0.25">
      <c r="A86" s="473" t="s">
        <v>327</v>
      </c>
      <c r="B86" s="291" t="s">
        <v>326</v>
      </c>
      <c r="C86" s="471"/>
    </row>
    <row r="87" spans="1:3" s="424" customFormat="1" ht="15.75" customHeight="1" thickBot="1" x14ac:dyDescent="0.25">
      <c r="A87" s="473" t="s">
        <v>339</v>
      </c>
      <c r="B87" s="432" t="s">
        <v>470</v>
      </c>
      <c r="C87" s="302">
        <f>+C64+C68+C73+C76+C80+C86+C85</f>
        <v>951562419</v>
      </c>
    </row>
    <row r="88" spans="1:3" s="424" customFormat="1" ht="16.5" customHeight="1" thickBot="1" x14ac:dyDescent="0.25">
      <c r="A88" s="474" t="s">
        <v>469</v>
      </c>
      <c r="B88" s="433" t="s">
        <v>471</v>
      </c>
      <c r="C88" s="302">
        <f>+C63+C87</f>
        <v>1842845065</v>
      </c>
    </row>
    <row r="89" spans="1:3" s="424" customFormat="1" ht="29.25" customHeight="1" x14ac:dyDescent="0.2">
      <c r="A89" s="5"/>
      <c r="B89" s="6"/>
      <c r="C89" s="303"/>
    </row>
    <row r="90" spans="1:3" ht="16.5" customHeight="1" x14ac:dyDescent="0.25">
      <c r="A90" s="675" t="s">
        <v>44</v>
      </c>
      <c r="B90" s="675"/>
      <c r="C90" s="675"/>
    </row>
    <row r="91" spans="1:3" s="434" customFormat="1" ht="16.5" customHeight="1" thickBot="1" x14ac:dyDescent="0.3">
      <c r="A91" s="677" t="s">
        <v>146</v>
      </c>
      <c r="B91" s="677"/>
      <c r="C91" s="146" t="s">
        <v>563</v>
      </c>
    </row>
    <row r="92" spans="1:3" ht="38.1" customHeight="1" thickBot="1" x14ac:dyDescent="0.3">
      <c r="A92" s="23" t="s">
        <v>66</v>
      </c>
      <c r="B92" s="24" t="s">
        <v>45</v>
      </c>
      <c r="C92" s="41" t="str">
        <f>+C3</f>
        <v>2019. évi előirányzat</v>
      </c>
    </row>
    <row r="93" spans="1:3" s="423" customFormat="1" ht="12" customHeight="1" thickBot="1" x14ac:dyDescent="0.25">
      <c r="A93" s="33"/>
      <c r="B93" s="34" t="s">
        <v>484</v>
      </c>
      <c r="C93" s="35" t="s">
        <v>485</v>
      </c>
    </row>
    <row r="94" spans="1:3" ht="12" customHeight="1" thickBot="1" x14ac:dyDescent="0.3">
      <c r="A94" s="22" t="s">
        <v>15</v>
      </c>
      <c r="B94" s="28" t="s">
        <v>429</v>
      </c>
      <c r="C94" s="295">
        <f>C95+C96+C97+C98+C99+C112</f>
        <v>1160770227</v>
      </c>
    </row>
    <row r="95" spans="1:3" ht="12" customHeight="1" x14ac:dyDescent="0.25">
      <c r="A95" s="17" t="s">
        <v>92</v>
      </c>
      <c r="B95" s="10" t="s">
        <v>46</v>
      </c>
      <c r="C95" s="297">
        <f>'9.1.1. sz. mell ÖNK'!C95+'9.2.1. sz. mell HIV'!C47+'9.3.1. sz. mell GAM'!C46+'9.4.1. sz. mell ILMKS'!C46+'9.5.1. sz. mell OVI'!C46+'9.6.1. sz. mell CSSK'!C46</f>
        <v>443537096</v>
      </c>
    </row>
    <row r="96" spans="1:3" ht="12" customHeight="1" x14ac:dyDescent="0.25">
      <c r="A96" s="14" t="s">
        <v>93</v>
      </c>
      <c r="B96" s="8" t="s">
        <v>172</v>
      </c>
      <c r="C96" s="298">
        <f>'9.1.1. sz. mell ÖNK'!C96+'9.2.1. sz. mell HIV'!C48+'9.3.1. sz. mell GAM'!C47+'9.4.1. sz. mell ILMKS'!C47+'9.5.1. sz. mell OVI'!C47+'9.6.1. sz. mell CSSK'!C47</f>
        <v>77735084</v>
      </c>
    </row>
    <row r="97" spans="1:3" ht="12" customHeight="1" x14ac:dyDescent="0.25">
      <c r="A97" s="14" t="s">
        <v>94</v>
      </c>
      <c r="B97" s="8" t="s">
        <v>134</v>
      </c>
      <c r="C97" s="298">
        <f>'9.1.1. sz. mell ÖNK'!C97+'9.2.1. sz. mell HIV'!C49+'9.3.1. sz. mell GAM'!C48+'9.4.1. sz. mell ILMKS'!C48+'9.5.1. sz. mell OVI'!C48+'9.6.1. sz. mell CSSK'!C48</f>
        <v>293693615</v>
      </c>
    </row>
    <row r="98" spans="1:3" ht="12" customHeight="1" x14ac:dyDescent="0.25">
      <c r="A98" s="14" t="s">
        <v>95</v>
      </c>
      <c r="B98" s="11" t="s">
        <v>173</v>
      </c>
      <c r="C98" s="298">
        <f>'9.1.1. sz. mell ÖNK'!C99+'9.2.1. sz. mell HIV'!C50+'9.3.1. sz. mell GAM'!C49+'9.4.1. sz. mell ILMKS'!C49+'9.5.1. sz. mell OVI'!C49+'9.6.1. sz. mell CSSK'!C49</f>
        <v>25982000</v>
      </c>
    </row>
    <row r="99" spans="1:3" ht="12" customHeight="1" x14ac:dyDescent="0.25">
      <c r="A99" s="14" t="s">
        <v>106</v>
      </c>
      <c r="B99" s="19" t="s">
        <v>174</v>
      </c>
      <c r="C99" s="298">
        <f>'9.1.1. sz. mell ÖNK'!C100+'9.2.1. sz. mell HIV'!C51+'9.3.1. sz. mell GAM'!C50+'9.4.1. sz. mell ILMKS'!C50+'9.5.1. sz. mell OVI'!C50+'9.6.1. sz. mell CSSK'!C50</f>
        <v>25600000</v>
      </c>
    </row>
    <row r="100" spans="1:3" ht="12" customHeight="1" x14ac:dyDescent="0.25">
      <c r="A100" s="14" t="s">
        <v>96</v>
      </c>
      <c r="B100" s="8" t="s">
        <v>434</v>
      </c>
      <c r="C100" s="300">
        <f>'9.1.1. sz. mell ÖNK'!C101</f>
        <v>0</v>
      </c>
    </row>
    <row r="101" spans="1:3" ht="12" customHeight="1" x14ac:dyDescent="0.25">
      <c r="A101" s="14" t="s">
        <v>97</v>
      </c>
      <c r="B101" s="151" t="s">
        <v>433</v>
      </c>
      <c r="C101" s="300">
        <f>'9.1.1. sz. mell ÖNK'!C102</f>
        <v>0</v>
      </c>
    </row>
    <row r="102" spans="1:3" ht="12" customHeight="1" x14ac:dyDescent="0.25">
      <c r="A102" s="14" t="s">
        <v>107</v>
      </c>
      <c r="B102" s="151" t="s">
        <v>432</v>
      </c>
      <c r="C102" s="300">
        <f>'9.1.1. sz. mell ÖNK'!C103</f>
        <v>0</v>
      </c>
    </row>
    <row r="103" spans="1:3" ht="12" customHeight="1" x14ac:dyDescent="0.25">
      <c r="A103" s="14" t="s">
        <v>108</v>
      </c>
      <c r="B103" s="149" t="s">
        <v>342</v>
      </c>
      <c r="C103" s="300">
        <f>'9.1.1. sz. mell ÖNK'!C104</f>
        <v>0</v>
      </c>
    </row>
    <row r="104" spans="1:3" ht="12" customHeight="1" x14ac:dyDescent="0.25">
      <c r="A104" s="14" t="s">
        <v>109</v>
      </c>
      <c r="B104" s="150" t="s">
        <v>343</v>
      </c>
      <c r="C104" s="300">
        <f>'9.1.1. sz. mell ÖNK'!C105</f>
        <v>0</v>
      </c>
    </row>
    <row r="105" spans="1:3" ht="12" customHeight="1" x14ac:dyDescent="0.25">
      <c r="A105" s="14" t="s">
        <v>110</v>
      </c>
      <c r="B105" s="150" t="s">
        <v>344</v>
      </c>
      <c r="C105" s="300">
        <f>'9.1.1. sz. mell ÖNK'!C106</f>
        <v>0</v>
      </c>
    </row>
    <row r="106" spans="1:3" ht="12" customHeight="1" x14ac:dyDescent="0.25">
      <c r="A106" s="14" t="s">
        <v>112</v>
      </c>
      <c r="B106" s="149" t="s">
        <v>345</v>
      </c>
      <c r="C106" s="300">
        <f>'9.1.1. sz. mell ÖNK'!C107</f>
        <v>1600000</v>
      </c>
    </row>
    <row r="107" spans="1:3" ht="12" customHeight="1" x14ac:dyDescent="0.25">
      <c r="A107" s="14" t="s">
        <v>175</v>
      </c>
      <c r="B107" s="149" t="s">
        <v>346</v>
      </c>
      <c r="C107" s="300">
        <f>'9.1.1. sz. mell ÖNK'!C108</f>
        <v>0</v>
      </c>
    </row>
    <row r="108" spans="1:3" ht="12" customHeight="1" x14ac:dyDescent="0.25">
      <c r="A108" s="14" t="s">
        <v>340</v>
      </c>
      <c r="B108" s="150" t="s">
        <v>347</v>
      </c>
      <c r="C108" s="300">
        <f>'9.1.1. sz. mell ÖNK'!C109</f>
        <v>0</v>
      </c>
    </row>
    <row r="109" spans="1:3" ht="12" customHeight="1" x14ac:dyDescent="0.25">
      <c r="A109" s="13" t="s">
        <v>341</v>
      </c>
      <c r="B109" s="151" t="s">
        <v>348</v>
      </c>
      <c r="C109" s="300">
        <f>'9.1.1. sz. mell ÖNK'!C110</f>
        <v>0</v>
      </c>
    </row>
    <row r="110" spans="1:3" ht="12" customHeight="1" x14ac:dyDescent="0.25">
      <c r="A110" s="14" t="s">
        <v>430</v>
      </c>
      <c r="B110" s="151" t="s">
        <v>349</v>
      </c>
      <c r="C110" s="300">
        <f>'9.1.1. sz. mell ÖNK'!C111</f>
        <v>0</v>
      </c>
    </row>
    <row r="111" spans="1:3" ht="12" customHeight="1" x14ac:dyDescent="0.25">
      <c r="A111" s="16" t="s">
        <v>431</v>
      </c>
      <c r="B111" s="151" t="s">
        <v>350</v>
      </c>
      <c r="C111" s="300">
        <f>'9.1.1. sz. mell ÖNK'!C112</f>
        <v>24000000</v>
      </c>
    </row>
    <row r="112" spans="1:3" ht="12" customHeight="1" x14ac:dyDescent="0.25">
      <c r="A112" s="14" t="s">
        <v>435</v>
      </c>
      <c r="B112" s="11" t="s">
        <v>47</v>
      </c>
      <c r="C112" s="300">
        <f>'9.1.1. sz. mell ÖNK'!C113</f>
        <v>294222432</v>
      </c>
    </row>
    <row r="113" spans="1:3" ht="12" customHeight="1" x14ac:dyDescent="0.25">
      <c r="A113" s="14" t="s">
        <v>436</v>
      </c>
      <c r="B113" s="8" t="s">
        <v>438</v>
      </c>
      <c r="C113" s="300">
        <f>'9.1.1. sz. mell ÖNK'!C114</f>
        <v>0</v>
      </c>
    </row>
    <row r="114" spans="1:3" ht="12" customHeight="1" thickBot="1" x14ac:dyDescent="0.3">
      <c r="A114" s="16" t="s">
        <v>437</v>
      </c>
      <c r="B114" s="547" t="s">
        <v>439</v>
      </c>
      <c r="C114" s="300">
        <f>'9.1.1. sz. mell ÖNK'!C115</f>
        <v>294222432</v>
      </c>
    </row>
    <row r="115" spans="1:3" ht="12" customHeight="1" thickBot="1" x14ac:dyDescent="0.3">
      <c r="A115" s="20" t="s">
        <v>16</v>
      </c>
      <c r="B115" s="27" t="s">
        <v>351</v>
      </c>
      <c r="C115" s="296">
        <f>+C116+C118+C120</f>
        <v>624898894</v>
      </c>
    </row>
    <row r="116" spans="1:3" ht="12" customHeight="1" x14ac:dyDescent="0.25">
      <c r="A116" s="15" t="s">
        <v>98</v>
      </c>
      <c r="B116" s="8" t="s">
        <v>214</v>
      </c>
      <c r="C116" s="299">
        <f>'9.1.1. sz. mell ÖNK'!C117+'9.2.1. sz. mell HIV'!C53+'9.3.1. sz. mell GAM'!C52+'9.4.1. sz. mell ILMKS'!C52+'9.5.1. sz. mell OVI'!C52+'9.6.1. sz. mell CSSK'!C52</f>
        <v>598607962</v>
      </c>
    </row>
    <row r="117" spans="1:3" ht="12" customHeight="1" x14ac:dyDescent="0.25">
      <c r="A117" s="15" t="s">
        <v>99</v>
      </c>
      <c r="B117" s="12" t="s">
        <v>355</v>
      </c>
      <c r="C117" s="299"/>
    </row>
    <row r="118" spans="1:3" ht="12" customHeight="1" x14ac:dyDescent="0.25">
      <c r="A118" s="15" t="s">
        <v>100</v>
      </c>
      <c r="B118" s="12" t="s">
        <v>176</v>
      </c>
      <c r="C118" s="298">
        <f>'9.1.1. sz. mell ÖNK'!C119+'9.2.1. sz. mell HIV'!C54+'9.3.1. sz. mell GAM'!C53+'9.4.1. sz. mell ILMKS'!C53+'9.5.1. sz. mell OVI'!C53+'9.6.1. sz. mell CSSK'!C53</f>
        <v>24990932</v>
      </c>
    </row>
    <row r="119" spans="1:3" ht="12" customHeight="1" x14ac:dyDescent="0.25">
      <c r="A119" s="15" t="s">
        <v>101</v>
      </c>
      <c r="B119" s="12" t="s">
        <v>356</v>
      </c>
      <c r="C119" s="279"/>
    </row>
    <row r="120" spans="1:3" ht="12" customHeight="1" x14ac:dyDescent="0.25">
      <c r="A120" s="15" t="s">
        <v>102</v>
      </c>
      <c r="B120" s="293" t="s">
        <v>217</v>
      </c>
      <c r="C120" s="279">
        <f>'9.1.1. sz. mell ÖNK'!C121+'9.2.1. sz. mell HIV'!C55+'9.3.1. sz. mell GAM'!C54+'9.4.1. sz. mell ILMKS'!C54+'9.5.1. sz. mell OVI'!C54</f>
        <v>1300000</v>
      </c>
    </row>
    <row r="121" spans="1:3" ht="12" customHeight="1" x14ac:dyDescent="0.25">
      <c r="A121" s="15" t="s">
        <v>111</v>
      </c>
      <c r="B121" s="292" t="s">
        <v>420</v>
      </c>
      <c r="C121" s="279"/>
    </row>
    <row r="122" spans="1:3" ht="12" customHeight="1" x14ac:dyDescent="0.25">
      <c r="A122" s="15" t="s">
        <v>113</v>
      </c>
      <c r="B122" s="421" t="s">
        <v>361</v>
      </c>
      <c r="C122" s="279"/>
    </row>
    <row r="123" spans="1:3" x14ac:dyDescent="0.25">
      <c r="A123" s="15" t="s">
        <v>177</v>
      </c>
      <c r="B123" s="150" t="s">
        <v>344</v>
      </c>
      <c r="C123" s="279"/>
    </row>
    <row r="124" spans="1:3" ht="12" customHeight="1" x14ac:dyDescent="0.25">
      <c r="A124" s="15" t="s">
        <v>178</v>
      </c>
      <c r="B124" s="150" t="s">
        <v>360</v>
      </c>
      <c r="C124" s="279"/>
    </row>
    <row r="125" spans="1:3" ht="12" customHeight="1" x14ac:dyDescent="0.25">
      <c r="A125" s="15" t="s">
        <v>179</v>
      </c>
      <c r="B125" s="150" t="s">
        <v>359</v>
      </c>
      <c r="C125" s="279"/>
    </row>
    <row r="126" spans="1:3" ht="12" customHeight="1" x14ac:dyDescent="0.25">
      <c r="A126" s="15" t="s">
        <v>352</v>
      </c>
      <c r="B126" s="150" t="s">
        <v>347</v>
      </c>
      <c r="C126" s="279"/>
    </row>
    <row r="127" spans="1:3" ht="12" customHeight="1" x14ac:dyDescent="0.25">
      <c r="A127" s="15" t="s">
        <v>353</v>
      </c>
      <c r="B127" s="150" t="s">
        <v>358</v>
      </c>
      <c r="C127" s="279"/>
    </row>
    <row r="128" spans="1:3" ht="16.5" thickBot="1" x14ac:dyDescent="0.3">
      <c r="A128" s="13" t="s">
        <v>354</v>
      </c>
      <c r="B128" s="150" t="s">
        <v>357</v>
      </c>
      <c r="C128" s="281"/>
    </row>
    <row r="129" spans="1:3" ht="12" customHeight="1" thickBot="1" x14ac:dyDescent="0.3">
      <c r="A129" s="20" t="s">
        <v>17</v>
      </c>
      <c r="B129" s="132" t="s">
        <v>440</v>
      </c>
      <c r="C129" s="296">
        <f>+C94+C115</f>
        <v>1785669121</v>
      </c>
    </row>
    <row r="130" spans="1:3" ht="12" customHeight="1" thickBot="1" x14ac:dyDescent="0.3">
      <c r="A130" s="20" t="s">
        <v>18</v>
      </c>
      <c r="B130" s="132" t="s">
        <v>441</v>
      </c>
      <c r="C130" s="296">
        <f>+C131+C132+C133</f>
        <v>5864000</v>
      </c>
    </row>
    <row r="131" spans="1:3" ht="12" customHeight="1" x14ac:dyDescent="0.25">
      <c r="A131" s="15" t="s">
        <v>256</v>
      </c>
      <c r="B131" s="12" t="s">
        <v>448</v>
      </c>
      <c r="C131" s="279">
        <f>'9.1.1. sz. mell ÖNK'!C132</f>
        <v>5864000</v>
      </c>
    </row>
    <row r="132" spans="1:3" ht="12" customHeight="1" x14ac:dyDescent="0.25">
      <c r="A132" s="15" t="s">
        <v>257</v>
      </c>
      <c r="B132" s="12" t="s">
        <v>449</v>
      </c>
      <c r="C132" s="279">
        <f>'9.1.1. sz. mell ÖNK'!C133</f>
        <v>0</v>
      </c>
    </row>
    <row r="133" spans="1:3" ht="12" customHeight="1" thickBot="1" x14ac:dyDescent="0.3">
      <c r="A133" s="13" t="s">
        <v>258</v>
      </c>
      <c r="B133" s="12" t="s">
        <v>450</v>
      </c>
      <c r="C133" s="279">
        <f>'9.1.1. sz. mell ÖNK'!C134</f>
        <v>0</v>
      </c>
    </row>
    <row r="134" spans="1:3" ht="12" customHeight="1" thickBot="1" x14ac:dyDescent="0.3">
      <c r="A134" s="20" t="s">
        <v>19</v>
      </c>
      <c r="B134" s="132" t="s">
        <v>442</v>
      </c>
      <c r="C134" s="296">
        <f>SUM(C135:C140)</f>
        <v>0</v>
      </c>
    </row>
    <row r="135" spans="1:3" ht="12" customHeight="1" x14ac:dyDescent="0.25">
      <c r="A135" s="15" t="s">
        <v>85</v>
      </c>
      <c r="B135" s="9" t="s">
        <v>451</v>
      </c>
      <c r="C135" s="279">
        <f>'9.1.1. sz. mell ÖNK'!C136</f>
        <v>0</v>
      </c>
    </row>
    <row r="136" spans="1:3" ht="12" customHeight="1" x14ac:dyDescent="0.25">
      <c r="A136" s="15" t="s">
        <v>86</v>
      </c>
      <c r="B136" s="9" t="s">
        <v>443</v>
      </c>
      <c r="C136" s="279">
        <f>'9.1.1. sz. mell ÖNK'!C137</f>
        <v>0</v>
      </c>
    </row>
    <row r="137" spans="1:3" ht="12" customHeight="1" x14ac:dyDescent="0.25">
      <c r="A137" s="15" t="s">
        <v>87</v>
      </c>
      <c r="B137" s="9" t="s">
        <v>444</v>
      </c>
      <c r="C137" s="279">
        <f>'9.1.1. sz. mell ÖNK'!C138</f>
        <v>0</v>
      </c>
    </row>
    <row r="138" spans="1:3" ht="12" customHeight="1" x14ac:dyDescent="0.25">
      <c r="A138" s="15" t="s">
        <v>164</v>
      </c>
      <c r="B138" s="9" t="s">
        <v>445</v>
      </c>
      <c r="C138" s="279">
        <f>'9.1.1. sz. mell ÖNK'!C139</f>
        <v>0</v>
      </c>
    </row>
    <row r="139" spans="1:3" ht="12" customHeight="1" x14ac:dyDescent="0.25">
      <c r="A139" s="15" t="s">
        <v>165</v>
      </c>
      <c r="B139" s="9" t="s">
        <v>446</v>
      </c>
      <c r="C139" s="279">
        <f>'9.1.1. sz. mell ÖNK'!C140</f>
        <v>0</v>
      </c>
    </row>
    <row r="140" spans="1:3" ht="12" customHeight="1" thickBot="1" x14ac:dyDescent="0.3">
      <c r="A140" s="13" t="s">
        <v>166</v>
      </c>
      <c r="B140" s="9" t="s">
        <v>447</v>
      </c>
      <c r="C140" s="279">
        <f>'9.1.1. sz. mell ÖNK'!C141</f>
        <v>0</v>
      </c>
    </row>
    <row r="141" spans="1:3" ht="12" customHeight="1" thickBot="1" x14ac:dyDescent="0.3">
      <c r="A141" s="20" t="s">
        <v>20</v>
      </c>
      <c r="B141" s="132" t="s">
        <v>455</v>
      </c>
      <c r="C141" s="302">
        <f>+C142+C143+C144+C145</f>
        <v>18567347</v>
      </c>
    </row>
    <row r="142" spans="1:3" ht="12" customHeight="1" x14ac:dyDescent="0.25">
      <c r="A142" s="15" t="s">
        <v>88</v>
      </c>
      <c r="B142" s="9" t="s">
        <v>362</v>
      </c>
      <c r="C142" s="279">
        <f>'9.1.1. sz. mell ÖNK'!C143</f>
        <v>0</v>
      </c>
    </row>
    <row r="143" spans="1:3" ht="12" customHeight="1" x14ac:dyDescent="0.25">
      <c r="A143" s="15" t="s">
        <v>89</v>
      </c>
      <c r="B143" s="9" t="s">
        <v>363</v>
      </c>
      <c r="C143" s="279">
        <f>'9.1.1. sz. mell ÖNK'!C144</f>
        <v>17448337</v>
      </c>
    </row>
    <row r="144" spans="1:3" ht="12" customHeight="1" x14ac:dyDescent="0.25">
      <c r="A144" s="15" t="s">
        <v>276</v>
      </c>
      <c r="B144" s="9" t="s">
        <v>456</v>
      </c>
      <c r="C144" s="279">
        <f>'9.1.1. sz. mell ÖNK'!C146</f>
        <v>0</v>
      </c>
    </row>
    <row r="145" spans="1:9" ht="12" customHeight="1" thickBot="1" x14ac:dyDescent="0.3">
      <c r="A145" s="13" t="s">
        <v>277</v>
      </c>
      <c r="B145" s="7" t="s">
        <v>382</v>
      </c>
      <c r="C145" s="279">
        <f>'9.1.1. sz. mell ÖNK'!C147</f>
        <v>1119010</v>
      </c>
    </row>
    <row r="146" spans="1:9" ht="12" customHeight="1" thickBot="1" x14ac:dyDescent="0.3">
      <c r="A146" s="20" t="s">
        <v>21</v>
      </c>
      <c r="B146" s="132" t="s">
        <v>457</v>
      </c>
      <c r="C146" s="305">
        <f>SUM(C147:C151)</f>
        <v>0</v>
      </c>
    </row>
    <row r="147" spans="1:9" ht="12" customHeight="1" x14ac:dyDescent="0.25">
      <c r="A147" s="15" t="s">
        <v>90</v>
      </c>
      <c r="B147" s="9" t="s">
        <v>452</v>
      </c>
      <c r="C147" s="279"/>
    </row>
    <row r="148" spans="1:9" ht="12" customHeight="1" x14ac:dyDescent="0.25">
      <c r="A148" s="15" t="s">
        <v>91</v>
      </c>
      <c r="B148" s="9" t="s">
        <v>459</v>
      </c>
      <c r="C148" s="279"/>
    </row>
    <row r="149" spans="1:9" ht="12" customHeight="1" x14ac:dyDescent="0.25">
      <c r="A149" s="15" t="s">
        <v>288</v>
      </c>
      <c r="B149" s="9" t="s">
        <v>454</v>
      </c>
      <c r="C149" s="279"/>
    </row>
    <row r="150" spans="1:9" ht="12" customHeight="1" x14ac:dyDescent="0.25">
      <c r="A150" s="15" t="s">
        <v>289</v>
      </c>
      <c r="B150" s="9" t="s">
        <v>460</v>
      </c>
      <c r="C150" s="279"/>
    </row>
    <row r="151" spans="1:9" ht="12" customHeight="1" thickBot="1" x14ac:dyDescent="0.3">
      <c r="A151" s="15" t="s">
        <v>458</v>
      </c>
      <c r="B151" s="9" t="s">
        <v>461</v>
      </c>
      <c r="C151" s="279"/>
    </row>
    <row r="152" spans="1:9" ht="12" customHeight="1" thickBot="1" x14ac:dyDescent="0.3">
      <c r="A152" s="20" t="s">
        <v>22</v>
      </c>
      <c r="B152" s="132" t="s">
        <v>462</v>
      </c>
      <c r="C152" s="493"/>
    </row>
    <row r="153" spans="1:9" ht="12" customHeight="1" thickBot="1" x14ac:dyDescent="0.3">
      <c r="A153" s="20" t="s">
        <v>23</v>
      </c>
      <c r="B153" s="132" t="s">
        <v>463</v>
      </c>
      <c r="C153" s="493"/>
    </row>
    <row r="154" spans="1:9" ht="15" customHeight="1" thickBot="1" x14ac:dyDescent="0.3">
      <c r="A154" s="20" t="s">
        <v>24</v>
      </c>
      <c r="B154" s="132" t="s">
        <v>465</v>
      </c>
      <c r="C154" s="435">
        <f>+C130+C134+C141+C146+C152+C153</f>
        <v>24431347</v>
      </c>
      <c r="F154" s="436"/>
      <c r="G154" s="437"/>
      <c r="H154" s="437"/>
      <c r="I154" s="437"/>
    </row>
    <row r="155" spans="1:9" s="424" customFormat="1" ht="12.95" customHeight="1" thickBot="1" x14ac:dyDescent="0.25">
      <c r="A155" s="294" t="s">
        <v>25</v>
      </c>
      <c r="B155" s="387" t="s">
        <v>464</v>
      </c>
      <c r="C155" s="435">
        <f>+C129+C154</f>
        <v>1810100468</v>
      </c>
    </row>
    <row r="156" spans="1:9" ht="7.5" customHeight="1" x14ac:dyDescent="0.25"/>
    <row r="157" spans="1:9" x14ac:dyDescent="0.25">
      <c r="A157" s="678" t="s">
        <v>364</v>
      </c>
      <c r="B157" s="678"/>
      <c r="C157" s="678"/>
    </row>
    <row r="158" spans="1:9" ht="15" customHeight="1" thickBot="1" x14ac:dyDescent="0.3">
      <c r="A158" s="676" t="s">
        <v>147</v>
      </c>
      <c r="B158" s="676"/>
      <c r="C158" s="306" t="s">
        <v>215</v>
      </c>
    </row>
    <row r="159" spans="1:9" ht="13.5" customHeight="1" thickBot="1" x14ac:dyDescent="0.3">
      <c r="A159" s="20">
        <v>1</v>
      </c>
      <c r="B159" s="27" t="s">
        <v>466</v>
      </c>
      <c r="C159" s="296">
        <f>+C63-C129</f>
        <v>-894386475</v>
      </c>
      <c r="D159" s="438"/>
    </row>
    <row r="160" spans="1:9" ht="27.75" customHeight="1" thickBot="1" x14ac:dyDescent="0.3">
      <c r="A160" s="20" t="s">
        <v>16</v>
      </c>
      <c r="B160" s="27" t="s">
        <v>559</v>
      </c>
      <c r="C160" s="296">
        <f>+C87-C154</f>
        <v>927131072</v>
      </c>
    </row>
  </sheetData>
  <mergeCells count="6">
    <mergeCell ref="A158:B158"/>
    <mergeCell ref="A1:C1"/>
    <mergeCell ref="A2:B2"/>
    <mergeCell ref="A90:C90"/>
    <mergeCell ref="A91:B91"/>
    <mergeCell ref="A157:C15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 KÖTELEZŐ FELADATAINAK MÉRLEGE &amp;R&amp;"Times New Roman CE,Félkövér dőlt"&amp;11 1.2. melléklet a .../2019. (....) önkormányzati rendelethez</oddHeader>
  </headerFooter>
  <rowBreaks count="1" manualBreakCount="1">
    <brk id="88" max="2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+CONCATENATE("9.4.3. melléklet a …./",LEFT(ÖSSZEFÜGGÉSEK!A5,4),". (…...) önkormányzati rendelethez")</f>
        <v>9.4.3.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v>0</v>
      </c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 melléklet a …./",LEFT(ÖSSZEFÜGGÉSEK!A5,4),". (…...) önkormányzati rendelethez")</f>
        <v>9.5.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561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73491117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f>'9.5.1. sz. mell OVI'!C38+'9.5.2. sz. mell OVI'!C38+'9.5.3. sz. mell OVI'!C38</f>
        <v>29374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'9.5.1. sz. mell OVI'!C40+'9.5.2. sz. mell OVI'!C40+'9.5.3. sz. mell OVI'!C40</f>
        <v>73461743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73491117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72892792</v>
      </c>
    </row>
    <row r="46" spans="1:3" ht="12" customHeight="1" x14ac:dyDescent="0.2">
      <c r="A46" s="460" t="s">
        <v>92</v>
      </c>
      <c r="B46" s="9" t="s">
        <v>46</v>
      </c>
      <c r="C46" s="77">
        <f>'9.5.1. sz. mell OVI'!C46</f>
        <v>54732174</v>
      </c>
    </row>
    <row r="47" spans="1:3" ht="12" customHeight="1" x14ac:dyDescent="0.2">
      <c r="A47" s="460" t="s">
        <v>93</v>
      </c>
      <c r="B47" s="8" t="s">
        <v>172</v>
      </c>
      <c r="C47" s="77">
        <f>'9.5.1. sz. mell OVI'!C47</f>
        <v>10772774</v>
      </c>
    </row>
    <row r="48" spans="1:3" ht="12" customHeight="1" x14ac:dyDescent="0.2">
      <c r="A48" s="460" t="s">
        <v>94</v>
      </c>
      <c r="B48" s="8" t="s">
        <v>134</v>
      </c>
      <c r="C48" s="77">
        <f>'9.5.1. sz. mell OVI'!C48</f>
        <v>7387844</v>
      </c>
    </row>
    <row r="49" spans="1:3" ht="12" customHeight="1" x14ac:dyDescent="0.2">
      <c r="A49" s="460" t="s">
        <v>95</v>
      </c>
      <c r="B49" s="8" t="s">
        <v>173</v>
      </c>
      <c r="C49" s="77">
        <f>'9.5.1. sz. mell OVI'!C49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'9.5.1. sz. mell OVI'!C50</f>
        <v>0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598325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'9.5.1. sz. mell OVI'!C52</f>
        <v>598325</v>
      </c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73491117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+CONCATENATE("9.5.1. melléklet a …./",LEFT(ÖSSZEFÜGGÉSEK!A5,4),". (…...) önkormányzati rendelethez")</f>
        <v>9.5.1.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561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73491117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v>29374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C57-C36-C38</f>
        <v>73461743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73491117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72892792</v>
      </c>
    </row>
    <row r="46" spans="1:3" ht="12" customHeight="1" x14ac:dyDescent="0.2">
      <c r="A46" s="460" t="s">
        <v>92</v>
      </c>
      <c r="B46" s="9" t="s">
        <v>46</v>
      </c>
      <c r="C46" s="77">
        <v>54732174</v>
      </c>
    </row>
    <row r="47" spans="1:3" ht="12" customHeight="1" x14ac:dyDescent="0.2">
      <c r="A47" s="460" t="s">
        <v>93</v>
      </c>
      <c r="B47" s="8" t="s">
        <v>172</v>
      </c>
      <c r="C47" s="80">
        <v>10772774</v>
      </c>
    </row>
    <row r="48" spans="1:3" ht="12" customHeight="1" x14ac:dyDescent="0.2">
      <c r="A48" s="460" t="s">
        <v>94</v>
      </c>
      <c r="B48" s="8" t="s">
        <v>134</v>
      </c>
      <c r="C48" s="80">
        <v>7387844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598325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v>598325</v>
      </c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73491117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4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+CONCATENATE("9.5.2. melléklet a .../",LEFT(ÖSSZEFÜGGÉSEK!A5,4),". (…....) önkormányzati rendelethez")</f>
        <v>9.5.2. melléklet a .../2019. (…....)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561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8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+CONCATENATE("9.5.3. melléklet a …./",LEFT(ÖSSZEFÜGGÉSEK!A5,4),". (…...) önkormányzati rendelethez")</f>
        <v>9.5.3.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561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 melléklet a …./",LEFT(ÖSSZEFÜGGÉSEK!A5,4),". (…...) önkormányzati rendelethez")</f>
        <v>9.6.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606</v>
      </c>
      <c r="C2" s="371" t="s">
        <v>607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64633321</v>
      </c>
    </row>
    <row r="38" spans="1:3" s="373" customFormat="1" ht="12" customHeight="1" x14ac:dyDescent="0.2">
      <c r="A38" s="459" t="s">
        <v>402</v>
      </c>
      <c r="B38" s="672" t="s">
        <v>224</v>
      </c>
      <c r="C38" s="673">
        <f>'9.6.1. sz. mell CSSK'!C38+'9.6.2. sz. mell CSSK'!C38+'9.6.3. sz. mell CSSK'!C38</f>
        <v>69078</v>
      </c>
    </row>
    <row r="39" spans="1:3" s="373" customFormat="1" ht="12" customHeight="1" x14ac:dyDescent="0.2">
      <c r="A39" s="461" t="s">
        <v>403</v>
      </c>
      <c r="B39" s="463" t="s">
        <v>2</v>
      </c>
      <c r="C39" s="80">
        <f>'9.6.1. sz. mell CSSK'!C39+'9.6.2. sz. mell CSSK'!C39+'9.6.3. sz. mell CSSK'!C39</f>
        <v>0</v>
      </c>
    </row>
    <row r="40" spans="1:3" s="468" customFormat="1" ht="12" customHeight="1" thickBot="1" x14ac:dyDescent="0.25">
      <c r="A40" s="674" t="s">
        <v>404</v>
      </c>
      <c r="B40" s="148" t="s">
        <v>405</v>
      </c>
      <c r="C40" s="671">
        <f>'9.6.1. sz. mell CSSK'!C40+'9.6.2. sz. mell CSSK'!C40+'9.6.3. sz. mell CSSK'!C40</f>
        <v>64564243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64633321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60823321</v>
      </c>
    </row>
    <row r="46" spans="1:3" ht="12" customHeight="1" x14ac:dyDescent="0.2">
      <c r="A46" s="460" t="s">
        <v>92</v>
      </c>
      <c r="B46" s="9" t="s">
        <v>46</v>
      </c>
      <c r="C46" s="77">
        <f>'9.6.1. sz. mell CSSK'!C46</f>
        <v>43981382</v>
      </c>
    </row>
    <row r="47" spans="1:3" ht="12" customHeight="1" x14ac:dyDescent="0.2">
      <c r="A47" s="460" t="s">
        <v>93</v>
      </c>
      <c r="B47" s="8" t="s">
        <v>172</v>
      </c>
      <c r="C47" s="77">
        <f>'9.6.1. sz. mell CSSK'!C47</f>
        <v>8876369</v>
      </c>
    </row>
    <row r="48" spans="1:3" ht="12" customHeight="1" x14ac:dyDescent="0.2">
      <c r="A48" s="460" t="s">
        <v>94</v>
      </c>
      <c r="B48" s="8" t="s">
        <v>134</v>
      </c>
      <c r="C48" s="77">
        <f>'9.6.1. sz. mell CSSK'!C48</f>
        <v>7965570</v>
      </c>
    </row>
    <row r="49" spans="1:3" ht="12" customHeight="1" x14ac:dyDescent="0.2">
      <c r="A49" s="460" t="s">
        <v>95</v>
      </c>
      <c r="B49" s="8" t="s">
        <v>173</v>
      </c>
      <c r="C49" s="77">
        <f>'9.6.1. sz. mell CSSK'!C49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'9.6.1. sz. mell CSSK'!C50</f>
        <v>0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3810000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+'9.6.1. sz. mell CSSK'!C52</f>
        <v>3810000</v>
      </c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64633321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9" zoomScaleNormal="100" workbookViewId="0">
      <selection activeCell="C8" sqref="C8:C57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+CONCATENATE("9.6.1. melléklet a …./",LEFT(ÖSSZEFÜGGÉSEK!A5,4),". (…...) önkormányzati rendelethez")</f>
        <v>9.6.1.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606</v>
      </c>
      <c r="C2" s="371" t="s">
        <v>607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64633321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v>69078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C57-C36-C38</f>
        <v>64564243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64633321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60823321</v>
      </c>
    </row>
    <row r="46" spans="1:3" ht="12" customHeight="1" x14ac:dyDescent="0.2">
      <c r="A46" s="460" t="s">
        <v>92</v>
      </c>
      <c r="B46" s="9" t="s">
        <v>46</v>
      </c>
      <c r="C46" s="77">
        <v>43981382</v>
      </c>
    </row>
    <row r="47" spans="1:3" ht="12" customHeight="1" x14ac:dyDescent="0.2">
      <c r="A47" s="460" t="s">
        <v>93</v>
      </c>
      <c r="B47" s="8" t="s">
        <v>172</v>
      </c>
      <c r="C47" s="80">
        <v>8876369</v>
      </c>
    </row>
    <row r="48" spans="1:3" ht="12" customHeight="1" x14ac:dyDescent="0.2">
      <c r="A48" s="460" t="s">
        <v>94</v>
      </c>
      <c r="B48" s="8" t="s">
        <v>134</v>
      </c>
      <c r="C48" s="80">
        <v>7965570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3810000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v>3810000</v>
      </c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64633321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>
        <v>11</v>
      </c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3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+CONCATENATE("9.6.2. melléklet a …./",LEFT(ÖSSZEFÜGGÉSEK!A5,4),". (…..) önkormányzati rendelethez")</f>
        <v>9.6.2. melléklet a …./2019. (…..) önkormányzati rendelethez</v>
      </c>
    </row>
    <row r="2" spans="1:3" s="465" customFormat="1" ht="25.5" customHeight="1" x14ac:dyDescent="0.2">
      <c r="A2" s="415" t="s">
        <v>193</v>
      </c>
      <c r="B2" s="357" t="s">
        <v>606</v>
      </c>
      <c r="C2" s="371" t="s">
        <v>607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3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+CONCATENATE("9.6.3. melléklet a …./",LEFT(ÖSSZEFÜGGÉSEK!A5,4),". (…...) önkormányzati rendelethez")</f>
        <v>9.6.3.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606</v>
      </c>
      <c r="C2" s="371" t="s">
        <v>607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6"/>
  <sheetViews>
    <sheetView view="pageLayout" zoomScaleNormal="100" workbookViewId="0">
      <selection activeCell="A7" sqref="A7"/>
    </sheetView>
  </sheetViews>
  <sheetFormatPr defaultColWidth="9.33203125" defaultRowHeight="12.75" x14ac:dyDescent="0.2"/>
  <cols>
    <col min="1" max="1" width="5.5" style="49" customWidth="1"/>
    <col min="2" max="2" width="33.1640625" style="49" customWidth="1"/>
    <col min="3" max="3" width="12.33203125" style="49" customWidth="1"/>
    <col min="4" max="4" width="11.5" style="49" customWidth="1"/>
    <col min="5" max="5" width="11.33203125" style="49" customWidth="1"/>
    <col min="6" max="6" width="11" style="49" customWidth="1"/>
    <col min="7" max="7" width="14.33203125" style="49" customWidth="1"/>
    <col min="8" max="16384" width="9.33203125" style="49"/>
  </cols>
  <sheetData>
    <row r="1" spans="1:7" ht="43.5" customHeight="1" x14ac:dyDescent="0.25">
      <c r="A1" s="701" t="s">
        <v>3</v>
      </c>
      <c r="B1" s="701"/>
      <c r="C1" s="701"/>
      <c r="D1" s="701"/>
      <c r="E1" s="701"/>
      <c r="F1" s="701"/>
      <c r="G1" s="701"/>
    </row>
    <row r="3" spans="1:7" s="171" customFormat="1" ht="27" customHeight="1" x14ac:dyDescent="0.25">
      <c r="A3" s="169" t="s">
        <v>196</v>
      </c>
      <c r="B3" s="170"/>
      <c r="C3" s="700" t="s">
        <v>637</v>
      </c>
      <c r="D3" s="700"/>
      <c r="E3" s="700"/>
      <c r="F3" s="700"/>
      <c r="G3" s="700"/>
    </row>
    <row r="4" spans="1:7" s="171" customFormat="1" ht="15.75" x14ac:dyDescent="0.25">
      <c r="A4" s="170"/>
      <c r="B4" s="170"/>
      <c r="C4" s="170"/>
      <c r="D4" s="170"/>
      <c r="E4" s="170"/>
      <c r="F4" s="170"/>
      <c r="G4" s="170"/>
    </row>
    <row r="5" spans="1:7" s="171" customFormat="1" ht="24.75" customHeight="1" x14ac:dyDescent="0.25">
      <c r="A5" s="169" t="s">
        <v>197</v>
      </c>
      <c r="B5" s="170"/>
      <c r="C5" s="700" t="s">
        <v>578</v>
      </c>
      <c r="D5" s="700"/>
      <c r="E5" s="700"/>
      <c r="F5" s="700"/>
      <c r="G5" s="170"/>
    </row>
    <row r="6" spans="1:7" s="172" customFormat="1" x14ac:dyDescent="0.2">
      <c r="A6" s="222"/>
      <c r="B6" s="222"/>
      <c r="C6" s="222"/>
      <c r="D6" s="222"/>
      <c r="E6" s="222"/>
      <c r="F6" s="222"/>
      <c r="G6" s="222"/>
    </row>
    <row r="7" spans="1:7" s="173" customFormat="1" ht="15" customHeight="1" x14ac:dyDescent="0.25">
      <c r="A7" s="277" t="s">
        <v>719</v>
      </c>
      <c r="B7" s="276"/>
      <c r="C7" s="276"/>
      <c r="D7" s="262"/>
      <c r="E7" s="262"/>
      <c r="F7" s="262"/>
      <c r="G7" s="262"/>
    </row>
    <row r="8" spans="1:7" s="173" customFormat="1" ht="15" customHeight="1" thickBot="1" x14ac:dyDescent="0.3">
      <c r="A8" s="277" t="s">
        <v>579</v>
      </c>
      <c r="B8" s="262"/>
      <c r="C8" s="262"/>
      <c r="D8" s="262"/>
      <c r="E8" s="262"/>
      <c r="F8" s="262"/>
      <c r="G8" s="262"/>
    </row>
    <row r="9" spans="1:7" s="76" customFormat="1" ht="42" customHeight="1" thickBot="1" x14ac:dyDescent="0.25">
      <c r="A9" s="202" t="s">
        <v>13</v>
      </c>
      <c r="B9" s="203" t="s">
        <v>198</v>
      </c>
      <c r="C9" s="203" t="s">
        <v>199</v>
      </c>
      <c r="D9" s="203" t="s">
        <v>200</v>
      </c>
      <c r="E9" s="203" t="s">
        <v>201</v>
      </c>
      <c r="F9" s="203" t="s">
        <v>202</v>
      </c>
      <c r="G9" s="204" t="s">
        <v>50</v>
      </c>
    </row>
    <row r="10" spans="1:7" ht="24" customHeight="1" x14ac:dyDescent="0.2">
      <c r="A10" s="263" t="s">
        <v>15</v>
      </c>
      <c r="B10" s="210" t="s">
        <v>203</v>
      </c>
      <c r="C10" s="174"/>
      <c r="D10" s="174"/>
      <c r="E10" s="174"/>
      <c r="F10" s="174"/>
      <c r="G10" s="264">
        <f>SUM(C10:F10)</f>
        <v>0</v>
      </c>
    </row>
    <row r="11" spans="1:7" ht="24" customHeight="1" x14ac:dyDescent="0.2">
      <c r="A11" s="265" t="s">
        <v>16</v>
      </c>
      <c r="B11" s="211" t="s">
        <v>204</v>
      </c>
      <c r="C11" s="175"/>
      <c r="D11" s="175"/>
      <c r="E11" s="175"/>
      <c r="F11" s="175"/>
      <c r="G11" s="266">
        <f t="shared" ref="G11:G16" si="0">SUM(C11:F11)</f>
        <v>0</v>
      </c>
    </row>
    <row r="12" spans="1:7" ht="24" customHeight="1" x14ac:dyDescent="0.2">
      <c r="A12" s="265" t="s">
        <v>17</v>
      </c>
      <c r="B12" s="211" t="s">
        <v>205</v>
      </c>
      <c r="C12" s="175"/>
      <c r="D12" s="175"/>
      <c r="E12" s="175"/>
      <c r="F12" s="175"/>
      <c r="G12" s="266">
        <f t="shared" si="0"/>
        <v>0</v>
      </c>
    </row>
    <row r="13" spans="1:7" ht="24" customHeight="1" x14ac:dyDescent="0.2">
      <c r="A13" s="265" t="s">
        <v>18</v>
      </c>
      <c r="B13" s="211" t="s">
        <v>206</v>
      </c>
      <c r="C13" s="175"/>
      <c r="D13" s="175"/>
      <c r="E13" s="175"/>
      <c r="F13" s="175"/>
      <c r="G13" s="266">
        <f t="shared" si="0"/>
        <v>0</v>
      </c>
    </row>
    <row r="14" spans="1:7" ht="24" customHeight="1" x14ac:dyDescent="0.2">
      <c r="A14" s="265" t="s">
        <v>19</v>
      </c>
      <c r="B14" s="211" t="s">
        <v>207</v>
      </c>
      <c r="C14" s="175"/>
      <c r="D14" s="175"/>
      <c r="E14" s="175"/>
      <c r="F14" s="175"/>
      <c r="G14" s="266">
        <f t="shared" si="0"/>
        <v>0</v>
      </c>
    </row>
    <row r="15" spans="1:7" ht="24" customHeight="1" thickBot="1" x14ac:dyDescent="0.25">
      <c r="A15" s="267" t="s">
        <v>20</v>
      </c>
      <c r="B15" s="268" t="s">
        <v>208</v>
      </c>
      <c r="C15" s="176"/>
      <c r="D15" s="176"/>
      <c r="E15" s="176"/>
      <c r="F15" s="176"/>
      <c r="G15" s="269">
        <f t="shared" si="0"/>
        <v>0</v>
      </c>
    </row>
    <row r="16" spans="1:7" s="177" customFormat="1" ht="24" customHeight="1" thickBot="1" x14ac:dyDescent="0.25">
      <c r="A16" s="270" t="s">
        <v>21</v>
      </c>
      <c r="B16" s="271" t="s">
        <v>50</v>
      </c>
      <c r="C16" s="272">
        <f>SUM(C10:C15)</f>
        <v>0</v>
      </c>
      <c r="D16" s="272">
        <f>SUM(D10:D15)</f>
        <v>0</v>
      </c>
      <c r="E16" s="272">
        <f>SUM(E10:E15)</f>
        <v>0</v>
      </c>
      <c r="F16" s="272">
        <f>SUM(F10:F15)</f>
        <v>0</v>
      </c>
      <c r="G16" s="273">
        <f t="shared" si="0"/>
        <v>0</v>
      </c>
    </row>
    <row r="17" spans="1:7" s="172" customFormat="1" x14ac:dyDescent="0.2">
      <c r="A17" s="222"/>
      <c r="B17" s="222"/>
      <c r="C17" s="222"/>
      <c r="D17" s="222"/>
      <c r="E17" s="222"/>
      <c r="F17" s="222"/>
      <c r="G17" s="222"/>
    </row>
    <row r="18" spans="1:7" s="172" customFormat="1" x14ac:dyDescent="0.2">
      <c r="A18" s="222"/>
      <c r="B18" s="222"/>
      <c r="C18" s="222"/>
      <c r="D18" s="222"/>
      <c r="E18" s="222"/>
      <c r="F18" s="222"/>
      <c r="G18" s="222"/>
    </row>
    <row r="19" spans="1:7" s="172" customFormat="1" x14ac:dyDescent="0.2">
      <c r="A19" s="222"/>
      <c r="B19" s="222"/>
      <c r="C19" s="222"/>
      <c r="D19" s="222"/>
      <c r="E19" s="222"/>
      <c r="F19" s="222"/>
      <c r="G19" s="222"/>
    </row>
    <row r="20" spans="1:7" s="172" customFormat="1" ht="15.75" x14ac:dyDescent="0.25">
      <c r="A20" s="171" t="str">
        <f>+CONCATENATE("Ibrány, ",LEFT(ÖSSZEFÜGGÉSEK!A5,4),". január hó 15. nap")</f>
        <v>Ibrány, 2019. január hó 15. nap</v>
      </c>
      <c r="B20" s="222"/>
      <c r="C20" s="222"/>
      <c r="D20" s="222"/>
      <c r="E20" s="222"/>
      <c r="F20" s="222"/>
      <c r="G20" s="222"/>
    </row>
    <row r="21" spans="1:7" s="172" customFormat="1" x14ac:dyDescent="0.2">
      <c r="A21" s="222"/>
      <c r="B21" s="222"/>
      <c r="C21" s="222"/>
      <c r="D21" s="222"/>
      <c r="E21" s="222"/>
      <c r="F21" s="222"/>
      <c r="G21" s="222"/>
    </row>
    <row r="22" spans="1:7" x14ac:dyDescent="0.2">
      <c r="A22" s="222"/>
      <c r="B22" s="222"/>
      <c r="C22" s="222"/>
      <c r="D22" s="222"/>
      <c r="E22" s="222"/>
      <c r="F22" s="222"/>
      <c r="G22" s="222"/>
    </row>
    <row r="23" spans="1:7" x14ac:dyDescent="0.2">
      <c r="A23" s="222"/>
      <c r="B23" s="222"/>
      <c r="C23" s="172"/>
      <c r="D23" s="172"/>
      <c r="E23" s="172"/>
      <c r="F23" s="172"/>
      <c r="G23" s="222"/>
    </row>
    <row r="24" spans="1:7" ht="13.5" x14ac:dyDescent="0.25">
      <c r="A24" s="222"/>
      <c r="B24" s="222"/>
      <c r="C24" s="274"/>
      <c r="D24" s="275" t="s">
        <v>209</v>
      </c>
      <c r="E24" s="275"/>
      <c r="F24" s="274"/>
      <c r="G24" s="222"/>
    </row>
    <row r="25" spans="1:7" ht="13.5" x14ac:dyDescent="0.25">
      <c r="C25" s="178"/>
      <c r="D25" s="179"/>
      <c r="E25" s="179"/>
      <c r="F25" s="178"/>
    </row>
    <row r="26" spans="1:7" ht="13.5" x14ac:dyDescent="0.25">
      <c r="C26" s="178"/>
      <c r="D26" s="179"/>
      <c r="E26" s="179"/>
      <c r="F26" s="178"/>
    </row>
  </sheetData>
  <mergeCells count="3">
    <mergeCell ref="C3:G3"/>
    <mergeCell ref="C5:F5"/>
    <mergeCell ref="A1:G1"/>
  </mergeCells>
  <phoneticPr fontId="30" type="noConversion"/>
  <printOptions horizontalCentered="1"/>
  <pageMargins left="0.78740157480314965" right="0.78740157480314965" top="1.1417322834645669" bottom="0.98425196850393704" header="0.78740157480314965" footer="0.78740157480314965"/>
  <pageSetup paperSize="9" scale="95" orientation="portrait" r:id="rId1"/>
  <headerFooter alignWithMargins="0">
    <oddHeader>&amp;C&amp;"Times New Roman CE,Félkövér"&amp;12
&amp;R&amp;"Times New Roman CE,Félkövér dőlt"&amp;11 10. melléklet a ..../2019. (......) önkormányzati rendelethez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0"/>
  <sheetViews>
    <sheetView view="pageLayout" topLeftCell="A89" zoomScaleNormal="100" zoomScaleSheetLayoutView="100" workbookViewId="0">
      <selection activeCell="C94" sqref="C94:C155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5" t="s">
        <v>12</v>
      </c>
      <c r="B1" s="675"/>
      <c r="C1" s="675"/>
    </row>
    <row r="2" spans="1:3" ht="15.95" customHeight="1" thickBot="1" x14ac:dyDescent="0.3">
      <c r="A2" s="676" t="s">
        <v>145</v>
      </c>
      <c r="B2" s="676"/>
      <c r="C2" s="306" t="s">
        <v>563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2019.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+C6+C7+C8+C9+C10+C11</f>
        <v>0</v>
      </c>
    </row>
    <row r="6" spans="1:3" s="424" customFormat="1" ht="12" customHeight="1" x14ac:dyDescent="0.2">
      <c r="A6" s="15" t="s">
        <v>92</v>
      </c>
      <c r="B6" s="425" t="s">
        <v>241</v>
      </c>
      <c r="C6" s="299"/>
    </row>
    <row r="7" spans="1:3" s="424" customFormat="1" ht="12" customHeight="1" x14ac:dyDescent="0.2">
      <c r="A7" s="14" t="s">
        <v>93</v>
      </c>
      <c r="B7" s="426" t="s">
        <v>242</v>
      </c>
      <c r="C7" s="298"/>
    </row>
    <row r="8" spans="1:3" s="424" customFormat="1" ht="12" customHeight="1" x14ac:dyDescent="0.2">
      <c r="A8" s="14" t="s">
        <v>94</v>
      </c>
      <c r="B8" s="426" t="s">
        <v>538</v>
      </c>
      <c r="C8" s="298"/>
    </row>
    <row r="9" spans="1:3" s="424" customFormat="1" ht="12" customHeight="1" x14ac:dyDescent="0.2">
      <c r="A9" s="14" t="s">
        <v>95</v>
      </c>
      <c r="B9" s="426" t="s">
        <v>244</v>
      </c>
      <c r="C9" s="298"/>
    </row>
    <row r="10" spans="1:3" s="424" customFormat="1" ht="12" customHeight="1" x14ac:dyDescent="0.2">
      <c r="A10" s="14" t="s">
        <v>141</v>
      </c>
      <c r="B10" s="292" t="s">
        <v>424</v>
      </c>
      <c r="C10" s="298"/>
    </row>
    <row r="11" spans="1:3" s="424" customFormat="1" ht="12" customHeight="1" thickBot="1" x14ac:dyDescent="0.25">
      <c r="A11" s="16" t="s">
        <v>96</v>
      </c>
      <c r="B11" s="293" t="s">
        <v>425</v>
      </c>
      <c r="C11" s="298"/>
    </row>
    <row r="12" spans="1:3" s="424" customFormat="1" ht="12" customHeight="1" thickBot="1" x14ac:dyDescent="0.25">
      <c r="A12" s="20" t="s">
        <v>16</v>
      </c>
      <c r="B12" s="291" t="s">
        <v>245</v>
      </c>
      <c r="C12" s="296">
        <f>+C13+C14+C15+C16+C17</f>
        <v>6245112</v>
      </c>
    </row>
    <row r="13" spans="1:3" s="424" customFormat="1" ht="12" customHeight="1" x14ac:dyDescent="0.2">
      <c r="A13" s="15" t="s">
        <v>98</v>
      </c>
      <c r="B13" s="425" t="s">
        <v>246</v>
      </c>
      <c r="C13" s="299"/>
    </row>
    <row r="14" spans="1:3" s="424" customFormat="1" ht="12" customHeight="1" x14ac:dyDescent="0.2">
      <c r="A14" s="14" t="s">
        <v>99</v>
      </c>
      <c r="B14" s="426" t="s">
        <v>247</v>
      </c>
      <c r="C14" s="298"/>
    </row>
    <row r="15" spans="1:3" s="424" customFormat="1" ht="12" customHeight="1" x14ac:dyDescent="0.2">
      <c r="A15" s="14" t="s">
        <v>100</v>
      </c>
      <c r="B15" s="426" t="s">
        <v>414</v>
      </c>
      <c r="C15" s="298"/>
    </row>
    <row r="16" spans="1:3" s="424" customFormat="1" ht="12" customHeight="1" x14ac:dyDescent="0.2">
      <c r="A16" s="14" t="s">
        <v>101</v>
      </c>
      <c r="B16" s="426" t="s">
        <v>415</v>
      </c>
      <c r="C16" s="298"/>
    </row>
    <row r="17" spans="1:3" s="424" customFormat="1" ht="12" customHeight="1" x14ac:dyDescent="0.2">
      <c r="A17" s="14" t="s">
        <v>102</v>
      </c>
      <c r="B17" s="426" t="s">
        <v>248</v>
      </c>
      <c r="C17" s="298">
        <f>+'9.1.2. sz. mell ÖNK'!C20</f>
        <v>6245112</v>
      </c>
    </row>
    <row r="18" spans="1:3" s="424" customFormat="1" ht="12" customHeight="1" thickBot="1" x14ac:dyDescent="0.25">
      <c r="A18" s="16" t="s">
        <v>111</v>
      </c>
      <c r="B18" s="293" t="s">
        <v>249</v>
      </c>
      <c r="C18" s="300"/>
    </row>
    <row r="19" spans="1:3" s="424" customFormat="1" ht="12" customHeight="1" thickBot="1" x14ac:dyDescent="0.25">
      <c r="A19" s="20" t="s">
        <v>17</v>
      </c>
      <c r="B19" s="21" t="s">
        <v>250</v>
      </c>
      <c r="C19" s="296">
        <f>+C20+C21+C22+C23+C24</f>
        <v>0</v>
      </c>
    </row>
    <row r="20" spans="1:3" s="424" customFormat="1" ht="12" customHeight="1" x14ac:dyDescent="0.2">
      <c r="A20" s="15" t="s">
        <v>81</v>
      </c>
      <c r="B20" s="425" t="s">
        <v>251</v>
      </c>
      <c r="C20" s="299"/>
    </row>
    <row r="21" spans="1:3" s="424" customFormat="1" ht="12" customHeight="1" x14ac:dyDescent="0.2">
      <c r="A21" s="14" t="s">
        <v>82</v>
      </c>
      <c r="B21" s="426" t="s">
        <v>252</v>
      </c>
      <c r="C21" s="298"/>
    </row>
    <row r="22" spans="1:3" s="424" customFormat="1" ht="12" customHeight="1" x14ac:dyDescent="0.2">
      <c r="A22" s="14" t="s">
        <v>83</v>
      </c>
      <c r="B22" s="426" t="s">
        <v>416</v>
      </c>
      <c r="C22" s="298"/>
    </row>
    <row r="23" spans="1:3" s="424" customFormat="1" ht="12" customHeight="1" x14ac:dyDescent="0.2">
      <c r="A23" s="14" t="s">
        <v>84</v>
      </c>
      <c r="B23" s="426" t="s">
        <v>417</v>
      </c>
      <c r="C23" s="298"/>
    </row>
    <row r="24" spans="1:3" s="424" customFormat="1" ht="12" customHeight="1" x14ac:dyDescent="0.2">
      <c r="A24" s="14" t="s">
        <v>160</v>
      </c>
      <c r="B24" s="426" t="s">
        <v>253</v>
      </c>
      <c r="C24" s="298"/>
    </row>
    <row r="25" spans="1:3" s="424" customFormat="1" ht="12" customHeight="1" thickBot="1" x14ac:dyDescent="0.25">
      <c r="A25" s="16" t="s">
        <v>161</v>
      </c>
      <c r="B25" s="427" t="s">
        <v>254</v>
      </c>
      <c r="C25" s="300"/>
    </row>
    <row r="26" spans="1:3" s="424" customFormat="1" ht="12" customHeight="1" thickBot="1" x14ac:dyDescent="0.25">
      <c r="A26" s="20" t="s">
        <v>162</v>
      </c>
      <c r="B26" s="21" t="s">
        <v>539</v>
      </c>
      <c r="C26" s="302">
        <f>SUM(C27:C34)</f>
        <v>4754290</v>
      </c>
    </row>
    <row r="27" spans="1:3" s="424" customFormat="1" ht="12" customHeight="1" x14ac:dyDescent="0.2">
      <c r="A27" s="15" t="s">
        <v>256</v>
      </c>
      <c r="B27" s="425" t="s">
        <v>543</v>
      </c>
      <c r="C27" s="299"/>
    </row>
    <row r="28" spans="1:3" s="424" customFormat="1" ht="12" customHeight="1" x14ac:dyDescent="0.2">
      <c r="A28" s="14" t="s">
        <v>257</v>
      </c>
      <c r="B28" s="426" t="s">
        <v>544</v>
      </c>
      <c r="C28" s="298"/>
    </row>
    <row r="29" spans="1:3" s="424" customFormat="1" ht="12" customHeight="1" x14ac:dyDescent="0.2">
      <c r="A29" s="14" t="s">
        <v>258</v>
      </c>
      <c r="B29" s="426" t="s">
        <v>628</v>
      </c>
      <c r="C29" s="298"/>
    </row>
    <row r="30" spans="1:3" s="424" customFormat="1" ht="12" customHeight="1" x14ac:dyDescent="0.2">
      <c r="A30" s="14" t="s">
        <v>259</v>
      </c>
      <c r="B30" s="426" t="s">
        <v>545</v>
      </c>
      <c r="C30" s="298">
        <f>'9.1.2. sz. mell ÖNK'!C33</f>
        <v>4754290</v>
      </c>
    </row>
    <row r="31" spans="1:3" s="424" customFormat="1" ht="12" customHeight="1" x14ac:dyDescent="0.2">
      <c r="A31" s="14" t="s">
        <v>540</v>
      </c>
      <c r="B31" s="426" t="s">
        <v>546</v>
      </c>
      <c r="C31" s="298"/>
    </row>
    <row r="32" spans="1:3" s="424" customFormat="1" ht="12" customHeight="1" x14ac:dyDescent="0.2">
      <c r="A32" s="14" t="s">
        <v>541</v>
      </c>
      <c r="B32" s="426" t="s">
        <v>260</v>
      </c>
      <c r="C32" s="298"/>
    </row>
    <row r="33" spans="1:3" s="424" customFormat="1" ht="12" customHeight="1" x14ac:dyDescent="0.2">
      <c r="A33" s="16" t="s">
        <v>542</v>
      </c>
      <c r="B33" s="426" t="s">
        <v>261</v>
      </c>
      <c r="C33" s="298"/>
    </row>
    <row r="34" spans="1:3" s="424" customFormat="1" ht="12" customHeight="1" thickBot="1" x14ac:dyDescent="0.25">
      <c r="A34" s="16" t="s">
        <v>629</v>
      </c>
      <c r="B34" s="522" t="s">
        <v>262</v>
      </c>
      <c r="C34" s="300"/>
    </row>
    <row r="35" spans="1:3" s="424" customFormat="1" ht="12" customHeight="1" thickBot="1" x14ac:dyDescent="0.25">
      <c r="A35" s="20" t="s">
        <v>19</v>
      </c>
      <c r="B35" s="21" t="s">
        <v>426</v>
      </c>
      <c r="C35" s="296">
        <f>SUM(C36:C46)</f>
        <v>32947737</v>
      </c>
    </row>
    <row r="36" spans="1:3" s="424" customFormat="1" ht="12" customHeight="1" x14ac:dyDescent="0.2">
      <c r="A36" s="15" t="s">
        <v>85</v>
      </c>
      <c r="B36" s="425" t="s">
        <v>265</v>
      </c>
      <c r="C36" s="299">
        <f>'9.3.2. sz. mell GAM'!C9+'9.4.2. sz. mell ILMKS'!C9</f>
        <v>2300000</v>
      </c>
    </row>
    <row r="37" spans="1:3" s="424" customFormat="1" ht="12" customHeight="1" x14ac:dyDescent="0.2">
      <c r="A37" s="14" t="s">
        <v>86</v>
      </c>
      <c r="B37" s="426" t="s">
        <v>266</v>
      </c>
      <c r="C37" s="299">
        <f>'9.3.2. sz. mell GAM'!C10+'9.4.2. sz. mell ILMKS'!C10</f>
        <v>23643100</v>
      </c>
    </row>
    <row r="38" spans="1:3" s="424" customFormat="1" ht="12" customHeight="1" x14ac:dyDescent="0.2">
      <c r="A38" s="14" t="s">
        <v>87</v>
      </c>
      <c r="B38" s="426" t="s">
        <v>267</v>
      </c>
      <c r="C38" s="299">
        <f>'9.3.2. sz. mell GAM'!C11+'9.4.2. sz. mell ILMKS'!C11</f>
        <v>0</v>
      </c>
    </row>
    <row r="39" spans="1:3" s="424" customFormat="1" ht="12" customHeight="1" x14ac:dyDescent="0.2">
      <c r="A39" s="14" t="s">
        <v>164</v>
      </c>
      <c r="B39" s="426" t="s">
        <v>268</v>
      </c>
      <c r="C39" s="299">
        <f>'9.3.2. sz. mell GAM'!C12+'9.4.2. sz. mell ILMKS'!C12</f>
        <v>0</v>
      </c>
    </row>
    <row r="40" spans="1:3" s="424" customFormat="1" ht="12" customHeight="1" x14ac:dyDescent="0.2">
      <c r="A40" s="14" t="s">
        <v>165</v>
      </c>
      <c r="B40" s="426" t="s">
        <v>269</v>
      </c>
      <c r="C40" s="299">
        <f>'9.3.2. sz. mell GAM'!C13+'9.4.2. sz. mell ILMKS'!C13</f>
        <v>0</v>
      </c>
    </row>
    <row r="41" spans="1:3" s="424" customFormat="1" ht="12" customHeight="1" x14ac:dyDescent="0.2">
      <c r="A41" s="14" t="s">
        <v>166</v>
      </c>
      <c r="B41" s="426" t="s">
        <v>270</v>
      </c>
      <c r="C41" s="299">
        <f>'9.3.2. sz. mell GAM'!C14+'9.4.2. sz. mell ILMKS'!C14</f>
        <v>7004637</v>
      </c>
    </row>
    <row r="42" spans="1:3" s="424" customFormat="1" ht="12" customHeight="1" x14ac:dyDescent="0.2">
      <c r="A42" s="14" t="s">
        <v>167</v>
      </c>
      <c r="B42" s="426" t="s">
        <v>271</v>
      </c>
      <c r="C42" s="298"/>
    </row>
    <row r="43" spans="1:3" s="424" customFormat="1" ht="12" customHeight="1" x14ac:dyDescent="0.2">
      <c r="A43" s="14" t="s">
        <v>168</v>
      </c>
      <c r="B43" s="426" t="s">
        <v>547</v>
      </c>
      <c r="C43" s="298"/>
    </row>
    <row r="44" spans="1:3" s="424" customFormat="1" ht="12" customHeight="1" x14ac:dyDescent="0.2">
      <c r="A44" s="14" t="s">
        <v>263</v>
      </c>
      <c r="B44" s="426" t="s">
        <v>273</v>
      </c>
      <c r="C44" s="301"/>
    </row>
    <row r="45" spans="1:3" s="424" customFormat="1" ht="12" customHeight="1" x14ac:dyDescent="0.2">
      <c r="A45" s="16" t="s">
        <v>264</v>
      </c>
      <c r="B45" s="427" t="s">
        <v>428</v>
      </c>
      <c r="C45" s="411"/>
    </row>
    <row r="46" spans="1:3" s="424" customFormat="1" ht="12" customHeight="1" thickBot="1" x14ac:dyDescent="0.25">
      <c r="A46" s="16" t="s">
        <v>427</v>
      </c>
      <c r="B46" s="293" t="s">
        <v>274</v>
      </c>
      <c r="C46" s="411"/>
    </row>
    <row r="47" spans="1:3" s="424" customFormat="1" ht="12" customHeight="1" thickBot="1" x14ac:dyDescent="0.25">
      <c r="A47" s="20" t="s">
        <v>20</v>
      </c>
      <c r="B47" s="21" t="s">
        <v>275</v>
      </c>
      <c r="C47" s="296">
        <f>SUM(C48:C52)</f>
        <v>0</v>
      </c>
    </row>
    <row r="48" spans="1:3" s="424" customFormat="1" ht="12" customHeight="1" x14ac:dyDescent="0.2">
      <c r="A48" s="15" t="s">
        <v>88</v>
      </c>
      <c r="B48" s="425" t="s">
        <v>279</v>
      </c>
      <c r="C48" s="470"/>
    </row>
    <row r="49" spans="1:3" s="424" customFormat="1" ht="12" customHeight="1" x14ac:dyDescent="0.2">
      <c r="A49" s="14" t="s">
        <v>89</v>
      </c>
      <c r="B49" s="426" t="s">
        <v>280</v>
      </c>
      <c r="C49" s="301"/>
    </row>
    <row r="50" spans="1:3" s="424" customFormat="1" ht="12" customHeight="1" x14ac:dyDescent="0.2">
      <c r="A50" s="14" t="s">
        <v>276</v>
      </c>
      <c r="B50" s="426" t="s">
        <v>281</v>
      </c>
      <c r="C50" s="301"/>
    </row>
    <row r="51" spans="1:3" s="424" customFormat="1" ht="12" customHeight="1" x14ac:dyDescent="0.2">
      <c r="A51" s="14" t="s">
        <v>277</v>
      </c>
      <c r="B51" s="426" t="s">
        <v>282</v>
      </c>
      <c r="C51" s="301"/>
    </row>
    <row r="52" spans="1:3" s="424" customFormat="1" ht="12" customHeight="1" thickBot="1" x14ac:dyDescent="0.25">
      <c r="A52" s="16" t="s">
        <v>278</v>
      </c>
      <c r="B52" s="293" t="s">
        <v>283</v>
      </c>
      <c r="C52" s="411"/>
    </row>
    <row r="53" spans="1:3" s="424" customFormat="1" ht="12" customHeight="1" thickBot="1" x14ac:dyDescent="0.25">
      <c r="A53" s="20" t="s">
        <v>169</v>
      </c>
      <c r="B53" s="21" t="s">
        <v>284</v>
      </c>
      <c r="C53" s="296">
        <f>SUM(C54:C56)</f>
        <v>0</v>
      </c>
    </row>
    <row r="54" spans="1:3" s="424" customFormat="1" ht="12" customHeight="1" x14ac:dyDescent="0.2">
      <c r="A54" s="15" t="s">
        <v>90</v>
      </c>
      <c r="B54" s="425" t="s">
        <v>285</v>
      </c>
      <c r="C54" s="299"/>
    </row>
    <row r="55" spans="1:3" s="424" customFormat="1" ht="12" customHeight="1" x14ac:dyDescent="0.2">
      <c r="A55" s="14" t="s">
        <v>91</v>
      </c>
      <c r="B55" s="426" t="s">
        <v>418</v>
      </c>
      <c r="C55" s="298"/>
    </row>
    <row r="56" spans="1:3" s="424" customFormat="1" ht="12" customHeight="1" x14ac:dyDescent="0.2">
      <c r="A56" s="14" t="s">
        <v>288</v>
      </c>
      <c r="B56" s="426" t="s">
        <v>286</v>
      </c>
      <c r="C56" s="298"/>
    </row>
    <row r="57" spans="1:3" s="424" customFormat="1" ht="12" customHeight="1" thickBot="1" x14ac:dyDescent="0.25">
      <c r="A57" s="16" t="s">
        <v>289</v>
      </c>
      <c r="B57" s="293" t="s">
        <v>287</v>
      </c>
      <c r="C57" s="300"/>
    </row>
    <row r="58" spans="1:3" s="424" customFormat="1" ht="12" customHeight="1" thickBot="1" x14ac:dyDescent="0.25">
      <c r="A58" s="20" t="s">
        <v>22</v>
      </c>
      <c r="B58" s="291" t="s">
        <v>290</v>
      </c>
      <c r="C58" s="296">
        <f>SUM(C59:C61)</f>
        <v>0</v>
      </c>
    </row>
    <row r="59" spans="1:3" s="424" customFormat="1" ht="12" customHeight="1" x14ac:dyDescent="0.2">
      <c r="A59" s="15" t="s">
        <v>170</v>
      </c>
      <c r="B59" s="425" t="s">
        <v>292</v>
      </c>
      <c r="C59" s="301"/>
    </row>
    <row r="60" spans="1:3" s="424" customFormat="1" ht="12" customHeight="1" x14ac:dyDescent="0.2">
      <c r="A60" s="14" t="s">
        <v>171</v>
      </c>
      <c r="B60" s="426" t="s">
        <v>419</v>
      </c>
      <c r="C60" s="301"/>
    </row>
    <row r="61" spans="1:3" s="424" customFormat="1" ht="12" customHeight="1" x14ac:dyDescent="0.2">
      <c r="A61" s="14" t="s">
        <v>216</v>
      </c>
      <c r="B61" s="426" t="s">
        <v>293</v>
      </c>
      <c r="C61" s="301"/>
    </row>
    <row r="62" spans="1:3" s="424" customFormat="1" ht="12" customHeight="1" thickBot="1" x14ac:dyDescent="0.25">
      <c r="A62" s="16" t="s">
        <v>291</v>
      </c>
      <c r="B62" s="293" t="s">
        <v>294</v>
      </c>
      <c r="C62" s="301"/>
    </row>
    <row r="63" spans="1:3" s="424" customFormat="1" ht="12" customHeight="1" thickBot="1" x14ac:dyDescent="0.25">
      <c r="A63" s="494" t="s">
        <v>468</v>
      </c>
      <c r="B63" s="21" t="s">
        <v>295</v>
      </c>
      <c r="C63" s="302">
        <f>+C5+C12+C19+C26+C35+C47+C53+C58</f>
        <v>43947139</v>
      </c>
    </row>
    <row r="64" spans="1:3" s="424" customFormat="1" ht="12" customHeight="1" thickBot="1" x14ac:dyDescent="0.25">
      <c r="A64" s="473" t="s">
        <v>296</v>
      </c>
      <c r="B64" s="291" t="s">
        <v>297</v>
      </c>
      <c r="C64" s="296">
        <f>SUM(C65:C67)</f>
        <v>0</v>
      </c>
    </row>
    <row r="65" spans="1:3" s="424" customFormat="1" ht="12" customHeight="1" x14ac:dyDescent="0.2">
      <c r="A65" s="15" t="s">
        <v>328</v>
      </c>
      <c r="B65" s="425" t="s">
        <v>298</v>
      </c>
      <c r="C65" s="301"/>
    </row>
    <row r="66" spans="1:3" s="424" customFormat="1" ht="12" customHeight="1" x14ac:dyDescent="0.2">
      <c r="A66" s="14" t="s">
        <v>337</v>
      </c>
      <c r="B66" s="426" t="s">
        <v>299</v>
      </c>
      <c r="C66" s="301"/>
    </row>
    <row r="67" spans="1:3" s="424" customFormat="1" ht="12" customHeight="1" thickBot="1" x14ac:dyDescent="0.25">
      <c r="A67" s="16" t="s">
        <v>338</v>
      </c>
      <c r="B67" s="488" t="s">
        <v>453</v>
      </c>
      <c r="C67" s="301"/>
    </row>
    <row r="68" spans="1:3" s="424" customFormat="1" ht="12" customHeight="1" thickBot="1" x14ac:dyDescent="0.25">
      <c r="A68" s="473" t="s">
        <v>301</v>
      </c>
      <c r="B68" s="291" t="s">
        <v>302</v>
      </c>
      <c r="C68" s="296">
        <f>SUM(C69:C72)</f>
        <v>0</v>
      </c>
    </row>
    <row r="69" spans="1:3" s="424" customFormat="1" ht="12" customHeight="1" x14ac:dyDescent="0.2">
      <c r="A69" s="15" t="s">
        <v>142</v>
      </c>
      <c r="B69" s="425" t="s">
        <v>303</v>
      </c>
      <c r="C69" s="301"/>
    </row>
    <row r="70" spans="1:3" s="424" customFormat="1" ht="12" customHeight="1" x14ac:dyDescent="0.2">
      <c r="A70" s="14" t="s">
        <v>143</v>
      </c>
      <c r="B70" s="426" t="s">
        <v>304</v>
      </c>
      <c r="C70" s="301"/>
    </row>
    <row r="71" spans="1:3" s="424" customFormat="1" ht="12" customHeight="1" x14ac:dyDescent="0.2">
      <c r="A71" s="14" t="s">
        <v>329</v>
      </c>
      <c r="B71" s="426" t="s">
        <v>305</v>
      </c>
      <c r="C71" s="301"/>
    </row>
    <row r="72" spans="1:3" s="424" customFormat="1" ht="12" customHeight="1" thickBot="1" x14ac:dyDescent="0.25">
      <c r="A72" s="16" t="s">
        <v>330</v>
      </c>
      <c r="B72" s="293" t="s">
        <v>306</v>
      </c>
      <c r="C72" s="301"/>
    </row>
    <row r="73" spans="1:3" s="424" customFormat="1" ht="12" customHeight="1" thickBot="1" x14ac:dyDescent="0.25">
      <c r="A73" s="473" t="s">
        <v>307</v>
      </c>
      <c r="B73" s="291" t="s">
        <v>308</v>
      </c>
      <c r="C73" s="296">
        <f>SUM(C74:C75)</f>
        <v>0</v>
      </c>
    </row>
    <row r="74" spans="1:3" s="424" customFormat="1" ht="12" customHeight="1" x14ac:dyDescent="0.2">
      <c r="A74" s="15" t="s">
        <v>331</v>
      </c>
      <c r="B74" s="425" t="s">
        <v>309</v>
      </c>
      <c r="C74" s="301"/>
    </row>
    <row r="75" spans="1:3" s="424" customFormat="1" ht="12" customHeight="1" thickBot="1" x14ac:dyDescent="0.25">
      <c r="A75" s="16" t="s">
        <v>332</v>
      </c>
      <c r="B75" s="293" t="s">
        <v>310</v>
      </c>
      <c r="C75" s="301"/>
    </row>
    <row r="76" spans="1:3" s="424" customFormat="1" ht="12" customHeight="1" thickBot="1" x14ac:dyDescent="0.25">
      <c r="A76" s="473" t="s">
        <v>311</v>
      </c>
      <c r="B76" s="291" t="s">
        <v>312</v>
      </c>
      <c r="C76" s="296">
        <f>SUM(C77:C79)</f>
        <v>0</v>
      </c>
    </row>
    <row r="77" spans="1:3" s="424" customFormat="1" ht="12" customHeight="1" x14ac:dyDescent="0.2">
      <c r="A77" s="15" t="s">
        <v>333</v>
      </c>
      <c r="B77" s="425" t="s">
        <v>313</v>
      </c>
      <c r="C77" s="301"/>
    </row>
    <row r="78" spans="1:3" s="424" customFormat="1" ht="12" customHeight="1" x14ac:dyDescent="0.2">
      <c r="A78" s="14" t="s">
        <v>334</v>
      </c>
      <c r="B78" s="426" t="s">
        <v>314</v>
      </c>
      <c r="C78" s="301"/>
    </row>
    <row r="79" spans="1:3" s="424" customFormat="1" ht="12" customHeight="1" thickBot="1" x14ac:dyDescent="0.25">
      <c r="A79" s="16" t="s">
        <v>335</v>
      </c>
      <c r="B79" s="293" t="s">
        <v>315</v>
      </c>
      <c r="C79" s="301"/>
    </row>
    <row r="80" spans="1:3" s="424" customFormat="1" ht="12" customHeight="1" thickBot="1" x14ac:dyDescent="0.25">
      <c r="A80" s="473" t="s">
        <v>316</v>
      </c>
      <c r="B80" s="291" t="s">
        <v>336</v>
      </c>
      <c r="C80" s="296">
        <f>SUM(C81:C84)</f>
        <v>0</v>
      </c>
    </row>
    <row r="81" spans="1:3" s="424" customFormat="1" ht="12" customHeight="1" x14ac:dyDescent="0.2">
      <c r="A81" s="429" t="s">
        <v>317</v>
      </c>
      <c r="B81" s="425" t="s">
        <v>318</v>
      </c>
      <c r="C81" s="301"/>
    </row>
    <row r="82" spans="1:3" s="424" customFormat="1" ht="12" customHeight="1" x14ac:dyDescent="0.2">
      <c r="A82" s="430" t="s">
        <v>319</v>
      </c>
      <c r="B82" s="426" t="s">
        <v>320</v>
      </c>
      <c r="C82" s="301"/>
    </row>
    <row r="83" spans="1:3" s="424" customFormat="1" ht="12" customHeight="1" x14ac:dyDescent="0.2">
      <c r="A83" s="430" t="s">
        <v>321</v>
      </c>
      <c r="B83" s="426" t="s">
        <v>322</v>
      </c>
      <c r="C83" s="301"/>
    </row>
    <row r="84" spans="1:3" s="424" customFormat="1" ht="12" customHeight="1" thickBot="1" x14ac:dyDescent="0.25">
      <c r="A84" s="431" t="s">
        <v>323</v>
      </c>
      <c r="B84" s="293" t="s">
        <v>324</v>
      </c>
      <c r="C84" s="301"/>
    </row>
    <row r="85" spans="1:3" s="424" customFormat="1" ht="12" customHeight="1" thickBot="1" x14ac:dyDescent="0.25">
      <c r="A85" s="473" t="s">
        <v>325</v>
      </c>
      <c r="B85" s="291" t="s">
        <v>467</v>
      </c>
      <c r="C85" s="471"/>
    </row>
    <row r="86" spans="1:3" s="424" customFormat="1" ht="13.5" customHeight="1" thickBot="1" x14ac:dyDescent="0.25">
      <c r="A86" s="473" t="s">
        <v>327</v>
      </c>
      <c r="B86" s="291" t="s">
        <v>326</v>
      </c>
      <c r="C86" s="471"/>
    </row>
    <row r="87" spans="1:3" s="424" customFormat="1" ht="15.75" customHeight="1" thickBot="1" x14ac:dyDescent="0.25">
      <c r="A87" s="473" t="s">
        <v>339</v>
      </c>
      <c r="B87" s="432" t="s">
        <v>470</v>
      </c>
      <c r="C87" s="302">
        <f>+C64+C68+C73+C76+C80+C86+C85</f>
        <v>0</v>
      </c>
    </row>
    <row r="88" spans="1:3" s="424" customFormat="1" ht="16.5" customHeight="1" thickBot="1" x14ac:dyDescent="0.25">
      <c r="A88" s="474" t="s">
        <v>469</v>
      </c>
      <c r="B88" s="433" t="s">
        <v>471</v>
      </c>
      <c r="C88" s="302">
        <f>+C63+C87</f>
        <v>43947139</v>
      </c>
    </row>
    <row r="89" spans="1:3" s="424" customFormat="1" ht="34.5" customHeight="1" x14ac:dyDescent="0.2">
      <c r="A89" s="5"/>
      <c r="B89" s="6"/>
      <c r="C89" s="303"/>
    </row>
    <row r="90" spans="1:3" ht="16.5" customHeight="1" x14ac:dyDescent="0.25">
      <c r="A90" s="675" t="s">
        <v>44</v>
      </c>
      <c r="B90" s="675"/>
      <c r="C90" s="675"/>
    </row>
    <row r="91" spans="1:3" s="434" customFormat="1" ht="16.5" customHeight="1" thickBot="1" x14ac:dyDescent="0.3">
      <c r="A91" s="677" t="s">
        <v>146</v>
      </c>
      <c r="B91" s="677"/>
      <c r="C91" s="146" t="s">
        <v>563</v>
      </c>
    </row>
    <row r="92" spans="1:3" ht="38.1" customHeight="1" thickBot="1" x14ac:dyDescent="0.3">
      <c r="A92" s="23" t="s">
        <v>66</v>
      </c>
      <c r="B92" s="24" t="s">
        <v>45</v>
      </c>
      <c r="C92" s="41" t="str">
        <f>+C3</f>
        <v>2019. évi előirányzat</v>
      </c>
    </row>
    <row r="93" spans="1:3" s="423" customFormat="1" ht="12" customHeight="1" thickBot="1" x14ac:dyDescent="0.25">
      <c r="A93" s="33"/>
      <c r="B93" s="34" t="s">
        <v>484</v>
      </c>
      <c r="C93" s="35" t="s">
        <v>485</v>
      </c>
    </row>
    <row r="94" spans="1:3" ht="12" customHeight="1" thickBot="1" x14ac:dyDescent="0.3">
      <c r="A94" s="22" t="s">
        <v>15</v>
      </c>
      <c r="B94" s="28" t="s">
        <v>429</v>
      </c>
      <c r="C94" s="295">
        <f>C95+C96+C97+C98+C99+C112</f>
        <v>50448700</v>
      </c>
    </row>
    <row r="95" spans="1:3" ht="12" customHeight="1" x14ac:dyDescent="0.25">
      <c r="A95" s="17" t="s">
        <v>92</v>
      </c>
      <c r="B95" s="10" t="s">
        <v>46</v>
      </c>
      <c r="C95" s="297">
        <f>'9.1.2. sz. mell ÖNK'!C95+'9.3.2. sz. mell GAM'!C46+'9.4.2. sz. mell ILMKS'!C46</f>
        <v>16520117</v>
      </c>
    </row>
    <row r="96" spans="1:3" ht="12" customHeight="1" x14ac:dyDescent="0.25">
      <c r="A96" s="14" t="s">
        <v>93</v>
      </c>
      <c r="B96" s="8" t="s">
        <v>172</v>
      </c>
      <c r="C96" s="298">
        <f>'9.1.2. sz. mell ÖNK'!C96+'9.3.2. sz. mell GAM'!C47+'9.4.2. sz. mell ILMKS'!C47</f>
        <v>3721423</v>
      </c>
    </row>
    <row r="97" spans="1:3" ht="12" customHeight="1" x14ac:dyDescent="0.25">
      <c r="A97" s="14" t="s">
        <v>94</v>
      </c>
      <c r="B97" s="8" t="s">
        <v>134</v>
      </c>
      <c r="C97" s="298">
        <f>'9.1.2. sz. mell ÖNK'!C97+'9.3.2. sz. mell GAM'!C48+'9.4.2. sz. mell ILMKS'!C48</f>
        <v>30123411</v>
      </c>
    </row>
    <row r="98" spans="1:3" ht="12" customHeight="1" x14ac:dyDescent="0.25">
      <c r="A98" s="14" t="s">
        <v>95</v>
      </c>
      <c r="B98" s="11" t="s">
        <v>173</v>
      </c>
      <c r="C98" s="298">
        <f>'9.1.2. sz. mell ÖNK'!C98+'9.3.2. sz. mell GAM'!C49+'9.4.2. sz. mell ILMKS'!C49</f>
        <v>0</v>
      </c>
    </row>
    <row r="99" spans="1:3" ht="12" customHeight="1" x14ac:dyDescent="0.25">
      <c r="A99" s="14" t="s">
        <v>106</v>
      </c>
      <c r="B99" s="19" t="s">
        <v>174</v>
      </c>
      <c r="C99" s="299">
        <f>'9.1.2. sz. mell ÖNK'!C99+'9.3.2. sz. mell GAM'!C50+'9.4.2. sz. mell ILMKS'!C50</f>
        <v>83749</v>
      </c>
    </row>
    <row r="100" spans="1:3" ht="12" customHeight="1" x14ac:dyDescent="0.25">
      <c r="A100" s="14" t="s">
        <v>96</v>
      </c>
      <c r="B100" s="8" t="s">
        <v>434</v>
      </c>
      <c r="C100" s="300"/>
    </row>
    <row r="101" spans="1:3" ht="12" customHeight="1" x14ac:dyDescent="0.25">
      <c r="A101" s="14" t="s">
        <v>97</v>
      </c>
      <c r="B101" s="151" t="s">
        <v>433</v>
      </c>
      <c r="C101" s="300"/>
    </row>
    <row r="102" spans="1:3" ht="12" customHeight="1" x14ac:dyDescent="0.25">
      <c r="A102" s="14" t="s">
        <v>107</v>
      </c>
      <c r="B102" s="151" t="s">
        <v>432</v>
      </c>
      <c r="C102" s="300"/>
    </row>
    <row r="103" spans="1:3" ht="12" customHeight="1" x14ac:dyDescent="0.25">
      <c r="A103" s="14" t="s">
        <v>108</v>
      </c>
      <c r="B103" s="149" t="s">
        <v>342</v>
      </c>
      <c r="C103" s="300"/>
    </row>
    <row r="104" spans="1:3" ht="12" customHeight="1" x14ac:dyDescent="0.25">
      <c r="A104" s="14" t="s">
        <v>109</v>
      </c>
      <c r="B104" s="150" t="s">
        <v>343</v>
      </c>
      <c r="C104" s="300"/>
    </row>
    <row r="105" spans="1:3" ht="12" customHeight="1" x14ac:dyDescent="0.25">
      <c r="A105" s="14" t="s">
        <v>110</v>
      </c>
      <c r="B105" s="150" t="s">
        <v>344</v>
      </c>
      <c r="C105" s="300"/>
    </row>
    <row r="106" spans="1:3" ht="12" customHeight="1" x14ac:dyDescent="0.25">
      <c r="A106" s="14" t="s">
        <v>112</v>
      </c>
      <c r="B106" s="149" t="s">
        <v>345</v>
      </c>
      <c r="C106" s="300"/>
    </row>
    <row r="107" spans="1:3" ht="12" customHeight="1" x14ac:dyDescent="0.25">
      <c r="A107" s="14" t="s">
        <v>175</v>
      </c>
      <c r="B107" s="149" t="s">
        <v>346</v>
      </c>
      <c r="C107" s="300"/>
    </row>
    <row r="108" spans="1:3" ht="12" customHeight="1" x14ac:dyDescent="0.25">
      <c r="A108" s="14" t="s">
        <v>340</v>
      </c>
      <c r="B108" s="150" t="s">
        <v>347</v>
      </c>
      <c r="C108" s="300"/>
    </row>
    <row r="109" spans="1:3" ht="12" customHeight="1" x14ac:dyDescent="0.25">
      <c r="A109" s="13" t="s">
        <v>341</v>
      </c>
      <c r="B109" s="151" t="s">
        <v>348</v>
      </c>
      <c r="C109" s="300"/>
    </row>
    <row r="110" spans="1:3" ht="12" customHeight="1" x14ac:dyDescent="0.25">
      <c r="A110" s="14" t="s">
        <v>430</v>
      </c>
      <c r="B110" s="151" t="s">
        <v>349</v>
      </c>
      <c r="C110" s="300"/>
    </row>
    <row r="111" spans="1:3" ht="12" customHeight="1" x14ac:dyDescent="0.25">
      <c r="A111" s="16" t="s">
        <v>431</v>
      </c>
      <c r="B111" s="151" t="s">
        <v>350</v>
      </c>
      <c r="C111" s="300">
        <f>'9.1.2. sz. mell ÖNK'!C111</f>
        <v>0</v>
      </c>
    </row>
    <row r="112" spans="1:3" ht="12" customHeight="1" x14ac:dyDescent="0.25">
      <c r="A112" s="14" t="s">
        <v>435</v>
      </c>
      <c r="B112" s="11" t="s">
        <v>47</v>
      </c>
      <c r="C112" s="298"/>
    </row>
    <row r="113" spans="1:3" ht="12" customHeight="1" x14ac:dyDescent="0.25">
      <c r="A113" s="14" t="s">
        <v>436</v>
      </c>
      <c r="B113" s="8" t="s">
        <v>438</v>
      </c>
      <c r="C113" s="298"/>
    </row>
    <row r="114" spans="1:3" ht="12" customHeight="1" thickBot="1" x14ac:dyDescent="0.3">
      <c r="A114" s="18" t="s">
        <v>437</v>
      </c>
      <c r="B114" s="492" t="s">
        <v>439</v>
      </c>
      <c r="C114" s="304"/>
    </row>
    <row r="115" spans="1:3" ht="12" customHeight="1" thickBot="1" x14ac:dyDescent="0.3">
      <c r="A115" s="489" t="s">
        <v>16</v>
      </c>
      <c r="B115" s="490" t="s">
        <v>351</v>
      </c>
      <c r="C115" s="491">
        <f>+C116+C118+C120</f>
        <v>0</v>
      </c>
    </row>
    <row r="116" spans="1:3" ht="12" customHeight="1" x14ac:dyDescent="0.25">
      <c r="A116" s="15" t="s">
        <v>98</v>
      </c>
      <c r="B116" s="8" t="s">
        <v>214</v>
      </c>
      <c r="C116" s="299"/>
    </row>
    <row r="117" spans="1:3" ht="12" customHeight="1" x14ac:dyDescent="0.25">
      <c r="A117" s="15" t="s">
        <v>99</v>
      </c>
      <c r="B117" s="12" t="s">
        <v>355</v>
      </c>
      <c r="C117" s="299"/>
    </row>
    <row r="118" spans="1:3" ht="12" customHeight="1" x14ac:dyDescent="0.25">
      <c r="A118" s="15" t="s">
        <v>100</v>
      </c>
      <c r="B118" s="12" t="s">
        <v>176</v>
      </c>
      <c r="C118" s="298"/>
    </row>
    <row r="119" spans="1:3" ht="12" customHeight="1" x14ac:dyDescent="0.25">
      <c r="A119" s="15" t="s">
        <v>101</v>
      </c>
      <c r="B119" s="12" t="s">
        <v>356</v>
      </c>
      <c r="C119" s="279"/>
    </row>
    <row r="120" spans="1:3" ht="12" customHeight="1" x14ac:dyDescent="0.25">
      <c r="A120" s="15" t="s">
        <v>102</v>
      </c>
      <c r="B120" s="293" t="s">
        <v>217</v>
      </c>
      <c r="C120" s="279"/>
    </row>
    <row r="121" spans="1:3" ht="12" customHeight="1" x14ac:dyDescent="0.25">
      <c r="A121" s="15" t="s">
        <v>111</v>
      </c>
      <c r="B121" s="292" t="s">
        <v>420</v>
      </c>
      <c r="C121" s="279"/>
    </row>
    <row r="122" spans="1:3" ht="12" customHeight="1" x14ac:dyDescent="0.25">
      <c r="A122" s="15" t="s">
        <v>113</v>
      </c>
      <c r="B122" s="421" t="s">
        <v>361</v>
      </c>
      <c r="C122" s="279"/>
    </row>
    <row r="123" spans="1:3" x14ac:dyDescent="0.25">
      <c r="A123" s="15" t="s">
        <v>177</v>
      </c>
      <c r="B123" s="150" t="s">
        <v>344</v>
      </c>
      <c r="C123" s="279"/>
    </row>
    <row r="124" spans="1:3" ht="12" customHeight="1" x14ac:dyDescent="0.25">
      <c r="A124" s="15" t="s">
        <v>178</v>
      </c>
      <c r="B124" s="150" t="s">
        <v>360</v>
      </c>
      <c r="C124" s="279"/>
    </row>
    <row r="125" spans="1:3" ht="12" customHeight="1" x14ac:dyDescent="0.25">
      <c r="A125" s="15" t="s">
        <v>179</v>
      </c>
      <c r="B125" s="150" t="s">
        <v>359</v>
      </c>
      <c r="C125" s="279"/>
    </row>
    <row r="126" spans="1:3" ht="12" customHeight="1" x14ac:dyDescent="0.25">
      <c r="A126" s="15" t="s">
        <v>352</v>
      </c>
      <c r="B126" s="150" t="s">
        <v>347</v>
      </c>
      <c r="C126" s="279"/>
    </row>
    <row r="127" spans="1:3" ht="12" customHeight="1" x14ac:dyDescent="0.25">
      <c r="A127" s="15" t="s">
        <v>353</v>
      </c>
      <c r="B127" s="150" t="s">
        <v>358</v>
      </c>
      <c r="C127" s="279"/>
    </row>
    <row r="128" spans="1:3" ht="16.5" thickBot="1" x14ac:dyDescent="0.3">
      <c r="A128" s="13" t="s">
        <v>354</v>
      </c>
      <c r="B128" s="150" t="s">
        <v>357</v>
      </c>
      <c r="C128" s="281"/>
    </row>
    <row r="129" spans="1:3" ht="12" customHeight="1" thickBot="1" x14ac:dyDescent="0.3">
      <c r="A129" s="20" t="s">
        <v>17</v>
      </c>
      <c r="B129" s="132" t="s">
        <v>440</v>
      </c>
      <c r="C129" s="296">
        <f>+C94+C115</f>
        <v>50448700</v>
      </c>
    </row>
    <row r="130" spans="1:3" ht="12" customHeight="1" thickBot="1" x14ac:dyDescent="0.3">
      <c r="A130" s="20" t="s">
        <v>18</v>
      </c>
      <c r="B130" s="132" t="s">
        <v>441</v>
      </c>
      <c r="C130" s="296">
        <f>+C131+C132+C133</f>
        <v>0</v>
      </c>
    </row>
    <row r="131" spans="1:3" ht="12" customHeight="1" x14ac:dyDescent="0.25">
      <c r="A131" s="15" t="s">
        <v>256</v>
      </c>
      <c r="B131" s="12" t="s">
        <v>448</v>
      </c>
      <c r="C131" s="279"/>
    </row>
    <row r="132" spans="1:3" ht="12" customHeight="1" x14ac:dyDescent="0.25">
      <c r="A132" s="15" t="s">
        <v>257</v>
      </c>
      <c r="B132" s="12" t="s">
        <v>449</v>
      </c>
      <c r="C132" s="279"/>
    </row>
    <row r="133" spans="1:3" ht="12" customHeight="1" thickBot="1" x14ac:dyDescent="0.3">
      <c r="A133" s="13" t="s">
        <v>258</v>
      </c>
      <c r="B133" s="12" t="s">
        <v>450</v>
      </c>
      <c r="C133" s="279"/>
    </row>
    <row r="134" spans="1:3" ht="12" customHeight="1" thickBot="1" x14ac:dyDescent="0.3">
      <c r="A134" s="20" t="s">
        <v>19</v>
      </c>
      <c r="B134" s="132" t="s">
        <v>442</v>
      </c>
      <c r="C134" s="296">
        <f>SUM(C135:C140)</f>
        <v>0</v>
      </c>
    </row>
    <row r="135" spans="1:3" ht="12" customHeight="1" x14ac:dyDescent="0.25">
      <c r="A135" s="15" t="s">
        <v>85</v>
      </c>
      <c r="B135" s="9" t="s">
        <v>451</v>
      </c>
      <c r="C135" s="279"/>
    </row>
    <row r="136" spans="1:3" ht="12" customHeight="1" x14ac:dyDescent="0.25">
      <c r="A136" s="15" t="s">
        <v>86</v>
      </c>
      <c r="B136" s="9" t="s">
        <v>443</v>
      </c>
      <c r="C136" s="279"/>
    </row>
    <row r="137" spans="1:3" ht="12" customHeight="1" x14ac:dyDescent="0.25">
      <c r="A137" s="15" t="s">
        <v>87</v>
      </c>
      <c r="B137" s="9" t="s">
        <v>444</v>
      </c>
      <c r="C137" s="279"/>
    </row>
    <row r="138" spans="1:3" ht="12" customHeight="1" x14ac:dyDescent="0.25">
      <c r="A138" s="15" t="s">
        <v>164</v>
      </c>
      <c r="B138" s="9" t="s">
        <v>445</v>
      </c>
      <c r="C138" s="279"/>
    </row>
    <row r="139" spans="1:3" ht="12" customHeight="1" x14ac:dyDescent="0.25">
      <c r="A139" s="15" t="s">
        <v>165</v>
      </c>
      <c r="B139" s="9" t="s">
        <v>446</v>
      </c>
      <c r="C139" s="279"/>
    </row>
    <row r="140" spans="1:3" ht="12" customHeight="1" thickBot="1" x14ac:dyDescent="0.3">
      <c r="A140" s="13" t="s">
        <v>166</v>
      </c>
      <c r="B140" s="9" t="s">
        <v>447</v>
      </c>
      <c r="C140" s="279"/>
    </row>
    <row r="141" spans="1:3" ht="12" customHeight="1" thickBot="1" x14ac:dyDescent="0.3">
      <c r="A141" s="20" t="s">
        <v>20</v>
      </c>
      <c r="B141" s="132" t="s">
        <v>455</v>
      </c>
      <c r="C141" s="302">
        <f>+C142+C143+C144+C145</f>
        <v>0</v>
      </c>
    </row>
    <row r="142" spans="1:3" ht="12" customHeight="1" x14ac:dyDescent="0.25">
      <c r="A142" s="15" t="s">
        <v>88</v>
      </c>
      <c r="B142" s="9" t="s">
        <v>362</v>
      </c>
      <c r="C142" s="279"/>
    </row>
    <row r="143" spans="1:3" ht="12" customHeight="1" x14ac:dyDescent="0.25">
      <c r="A143" s="15" t="s">
        <v>89</v>
      </c>
      <c r="B143" s="9" t="s">
        <v>363</v>
      </c>
      <c r="C143" s="279"/>
    </row>
    <row r="144" spans="1:3" ht="12" customHeight="1" x14ac:dyDescent="0.25">
      <c r="A144" s="15" t="s">
        <v>276</v>
      </c>
      <c r="B144" s="9" t="s">
        <v>456</v>
      </c>
      <c r="C144" s="279"/>
    </row>
    <row r="145" spans="1:9" ht="12" customHeight="1" thickBot="1" x14ac:dyDescent="0.3">
      <c r="A145" s="13" t="s">
        <v>277</v>
      </c>
      <c r="B145" s="7" t="s">
        <v>382</v>
      </c>
      <c r="C145" s="279"/>
    </row>
    <row r="146" spans="1:9" ht="12" customHeight="1" thickBot="1" x14ac:dyDescent="0.3">
      <c r="A146" s="20" t="s">
        <v>21</v>
      </c>
      <c r="B146" s="132" t="s">
        <v>457</v>
      </c>
      <c r="C146" s="305">
        <f>SUM(C147:C151)</f>
        <v>0</v>
      </c>
    </row>
    <row r="147" spans="1:9" ht="12" customHeight="1" x14ac:dyDescent="0.25">
      <c r="A147" s="15" t="s">
        <v>90</v>
      </c>
      <c r="B147" s="9" t="s">
        <v>452</v>
      </c>
      <c r="C147" s="279"/>
    </row>
    <row r="148" spans="1:9" ht="12" customHeight="1" x14ac:dyDescent="0.25">
      <c r="A148" s="15" t="s">
        <v>91</v>
      </c>
      <c r="B148" s="9" t="s">
        <v>459</v>
      </c>
      <c r="C148" s="279"/>
    </row>
    <row r="149" spans="1:9" ht="12" customHeight="1" x14ac:dyDescent="0.25">
      <c r="A149" s="15" t="s">
        <v>288</v>
      </c>
      <c r="B149" s="9" t="s">
        <v>454</v>
      </c>
      <c r="C149" s="279"/>
    </row>
    <row r="150" spans="1:9" ht="12" customHeight="1" x14ac:dyDescent="0.25">
      <c r="A150" s="15" t="s">
        <v>289</v>
      </c>
      <c r="B150" s="9" t="s">
        <v>460</v>
      </c>
      <c r="C150" s="279"/>
    </row>
    <row r="151" spans="1:9" ht="12" customHeight="1" thickBot="1" x14ac:dyDescent="0.3">
      <c r="A151" s="15" t="s">
        <v>458</v>
      </c>
      <c r="B151" s="9" t="s">
        <v>461</v>
      </c>
      <c r="C151" s="279"/>
    </row>
    <row r="152" spans="1:9" ht="12" customHeight="1" thickBot="1" x14ac:dyDescent="0.3">
      <c r="A152" s="20" t="s">
        <v>22</v>
      </c>
      <c r="B152" s="132" t="s">
        <v>462</v>
      </c>
      <c r="C152" s="493"/>
    </row>
    <row r="153" spans="1:9" ht="12" customHeight="1" thickBot="1" x14ac:dyDescent="0.3">
      <c r="A153" s="20" t="s">
        <v>23</v>
      </c>
      <c r="B153" s="132" t="s">
        <v>463</v>
      </c>
      <c r="C153" s="493"/>
    </row>
    <row r="154" spans="1:9" ht="15" customHeight="1" thickBot="1" x14ac:dyDescent="0.3">
      <c r="A154" s="20" t="s">
        <v>24</v>
      </c>
      <c r="B154" s="132" t="s">
        <v>465</v>
      </c>
      <c r="C154" s="435">
        <f>+C130+C134+C141+C146+C152+C153</f>
        <v>0</v>
      </c>
      <c r="F154" s="436"/>
      <c r="G154" s="437"/>
      <c r="H154" s="437"/>
      <c r="I154" s="437"/>
    </row>
    <row r="155" spans="1:9" s="424" customFormat="1" ht="12.95" customHeight="1" thickBot="1" x14ac:dyDescent="0.25">
      <c r="A155" s="294" t="s">
        <v>25</v>
      </c>
      <c r="B155" s="387" t="s">
        <v>464</v>
      </c>
      <c r="C155" s="435">
        <f>+C129+C154</f>
        <v>50448700</v>
      </c>
    </row>
    <row r="156" spans="1:9" ht="7.5" customHeight="1" x14ac:dyDescent="0.25"/>
    <row r="157" spans="1:9" x14ac:dyDescent="0.25">
      <c r="A157" s="678" t="s">
        <v>364</v>
      </c>
      <c r="B157" s="678"/>
      <c r="C157" s="678"/>
    </row>
    <row r="158" spans="1:9" ht="15" customHeight="1" thickBot="1" x14ac:dyDescent="0.3">
      <c r="A158" s="676" t="s">
        <v>147</v>
      </c>
      <c r="B158" s="676"/>
      <c r="C158" s="306" t="s">
        <v>215</v>
      </c>
    </row>
    <row r="159" spans="1:9" ht="13.5" customHeight="1" thickBot="1" x14ac:dyDescent="0.3">
      <c r="A159" s="20">
        <v>1</v>
      </c>
      <c r="B159" s="27" t="s">
        <v>466</v>
      </c>
      <c r="C159" s="296">
        <f>+C63-C129</f>
        <v>-6501561</v>
      </c>
      <c r="D159" s="438"/>
    </row>
    <row r="160" spans="1:9" ht="27.75" customHeight="1" thickBot="1" x14ac:dyDescent="0.3">
      <c r="A160" s="20" t="s">
        <v>16</v>
      </c>
      <c r="B160" s="27" t="s">
        <v>560</v>
      </c>
      <c r="C160" s="296">
        <f>+C87-C154</f>
        <v>0</v>
      </c>
    </row>
  </sheetData>
  <mergeCells count="6">
    <mergeCell ref="A158:B158"/>
    <mergeCell ref="A1:C1"/>
    <mergeCell ref="A2:B2"/>
    <mergeCell ref="A90:C90"/>
    <mergeCell ref="A91:B91"/>
    <mergeCell ref="A157:C15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
ÖNKÉNT VÁLLALT FELADATAINAK MÉRLEGE
&amp;R&amp;"Times New Roman CE,Félkövér dőlt"&amp;11 1.3. melléklet a .../2019. (....) önkormányzati rendelethez</oddHeader>
  </headerFooter>
  <rowBreaks count="1" manualBreakCount="1">
    <brk id="88" max="2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67"/>
  <sheetViews>
    <sheetView view="pageLayout" zoomScaleNormal="120" zoomScaleSheetLayoutView="100" workbookViewId="0">
      <selection activeCell="D145" sqref="D145"/>
    </sheetView>
  </sheetViews>
  <sheetFormatPr defaultColWidth="9.33203125" defaultRowHeight="15.75" x14ac:dyDescent="0.25"/>
  <cols>
    <col min="1" max="1" width="9" style="390" customWidth="1"/>
    <col min="2" max="2" width="75.83203125" style="390" customWidth="1"/>
    <col min="3" max="3" width="15.5" style="391" customWidth="1"/>
    <col min="4" max="5" width="15.5" style="390" customWidth="1"/>
    <col min="6" max="6" width="9" style="40" customWidth="1"/>
    <col min="7" max="16384" width="9.33203125" style="40"/>
  </cols>
  <sheetData>
    <row r="1" spans="1:5" ht="15.95" customHeight="1" x14ac:dyDescent="0.25">
      <c r="A1" s="675" t="s">
        <v>12</v>
      </c>
      <c r="B1" s="675"/>
      <c r="C1" s="675"/>
      <c r="D1" s="675"/>
      <c r="E1" s="675"/>
    </row>
    <row r="2" spans="1:5" ht="15.95" customHeight="1" thickBot="1" x14ac:dyDescent="0.3">
      <c r="A2" s="676" t="s">
        <v>145</v>
      </c>
      <c r="B2" s="676"/>
      <c r="D2" s="147"/>
      <c r="E2" s="306" t="s">
        <v>215</v>
      </c>
    </row>
    <row r="3" spans="1:5" ht="38.1" customHeight="1" thickBot="1" x14ac:dyDescent="0.3">
      <c r="A3" s="23" t="s">
        <v>66</v>
      </c>
      <c r="B3" s="24" t="s">
        <v>14</v>
      </c>
      <c r="C3" s="24" t="str">
        <f>+CONCATENATE(LEFT(ÖSSZEFÜGGÉSEK!A5,4)-2,". évi tény")</f>
        <v>2017. évi tény</v>
      </c>
      <c r="D3" s="413" t="str">
        <f>+CONCATENATE(LEFT(ÖSSZEFÜGGÉSEK!A5,4)-1,". évi várható")</f>
        <v>2018. évi várható</v>
      </c>
      <c r="E3" s="168" t="str">
        <f>+'1.1.sz.mell.'!C3</f>
        <v>2019. évi előirányzat</v>
      </c>
    </row>
    <row r="4" spans="1:5" s="42" customFormat="1" ht="12" customHeight="1" thickBot="1" x14ac:dyDescent="0.25">
      <c r="A4" s="33" t="s">
        <v>484</v>
      </c>
      <c r="B4" s="34" t="s">
        <v>485</v>
      </c>
      <c r="C4" s="34" t="s">
        <v>486</v>
      </c>
      <c r="D4" s="34" t="s">
        <v>488</v>
      </c>
      <c r="E4" s="457" t="s">
        <v>487</v>
      </c>
    </row>
    <row r="5" spans="1:5" s="1" customFormat="1" ht="12" customHeight="1" thickBot="1" x14ac:dyDescent="0.25">
      <c r="A5" s="20" t="s">
        <v>15</v>
      </c>
      <c r="B5" s="21" t="s">
        <v>240</v>
      </c>
      <c r="C5" s="405">
        <v>518770</v>
      </c>
      <c r="D5" s="405">
        <v>543880</v>
      </c>
      <c r="E5" s="278">
        <v>543880</v>
      </c>
    </row>
    <row r="6" spans="1:5" s="1" customFormat="1" ht="12" customHeight="1" x14ac:dyDescent="0.2">
      <c r="A6" s="15" t="s">
        <v>92</v>
      </c>
      <c r="B6" s="425" t="s">
        <v>241</v>
      </c>
      <c r="C6" s="407"/>
      <c r="D6" s="407"/>
      <c r="E6" s="280"/>
    </row>
    <row r="7" spans="1:5" s="1" customFormat="1" ht="12" customHeight="1" x14ac:dyDescent="0.2">
      <c r="A7" s="14" t="s">
        <v>93</v>
      </c>
      <c r="B7" s="426" t="s">
        <v>242</v>
      </c>
      <c r="C7" s="406"/>
      <c r="D7" s="406"/>
      <c r="E7" s="279"/>
    </row>
    <row r="8" spans="1:5" s="1" customFormat="1" ht="12" customHeight="1" x14ac:dyDescent="0.2">
      <c r="A8" s="14" t="s">
        <v>94</v>
      </c>
      <c r="B8" s="426" t="s">
        <v>243</v>
      </c>
      <c r="C8" s="406"/>
      <c r="D8" s="406"/>
      <c r="E8" s="279"/>
    </row>
    <row r="9" spans="1:5" s="1" customFormat="1" ht="12" customHeight="1" x14ac:dyDescent="0.2">
      <c r="A9" s="14" t="s">
        <v>95</v>
      </c>
      <c r="B9" s="426" t="s">
        <v>244</v>
      </c>
      <c r="C9" s="406"/>
      <c r="D9" s="406"/>
      <c r="E9" s="279"/>
    </row>
    <row r="10" spans="1:5" s="1" customFormat="1" ht="12" customHeight="1" x14ac:dyDescent="0.2">
      <c r="A10" s="14" t="s">
        <v>141</v>
      </c>
      <c r="B10" s="292" t="s">
        <v>424</v>
      </c>
      <c r="C10" s="406"/>
      <c r="D10" s="406"/>
      <c r="E10" s="279"/>
    </row>
    <row r="11" spans="1:5" s="1" customFormat="1" ht="12" customHeight="1" thickBot="1" x14ac:dyDescent="0.25">
      <c r="A11" s="16" t="s">
        <v>96</v>
      </c>
      <c r="B11" s="293" t="s">
        <v>425</v>
      </c>
      <c r="C11" s="406"/>
      <c r="D11" s="406"/>
      <c r="E11" s="279"/>
    </row>
    <row r="12" spans="1:5" s="1" customFormat="1" ht="12" customHeight="1" thickBot="1" x14ac:dyDescent="0.25">
      <c r="A12" s="20" t="s">
        <v>16</v>
      </c>
      <c r="B12" s="291" t="s">
        <v>245</v>
      </c>
      <c r="C12" s="405">
        <v>462563</v>
      </c>
      <c r="D12" s="405">
        <v>288004</v>
      </c>
      <c r="E12" s="278">
        <v>288004</v>
      </c>
    </row>
    <row r="13" spans="1:5" s="1" customFormat="1" ht="12" customHeight="1" x14ac:dyDescent="0.2">
      <c r="A13" s="15" t="s">
        <v>98</v>
      </c>
      <c r="B13" s="425" t="s">
        <v>246</v>
      </c>
      <c r="C13" s="407"/>
      <c r="D13" s="407"/>
      <c r="E13" s="280"/>
    </row>
    <row r="14" spans="1:5" s="1" customFormat="1" ht="12" customHeight="1" x14ac:dyDescent="0.2">
      <c r="A14" s="14" t="s">
        <v>99</v>
      </c>
      <c r="B14" s="426" t="s">
        <v>247</v>
      </c>
      <c r="C14" s="406"/>
      <c r="D14" s="406"/>
      <c r="E14" s="279"/>
    </row>
    <row r="15" spans="1:5" s="1" customFormat="1" ht="12" customHeight="1" x14ac:dyDescent="0.2">
      <c r="A15" s="14" t="s">
        <v>100</v>
      </c>
      <c r="B15" s="426" t="s">
        <v>414</v>
      </c>
      <c r="C15" s="406"/>
      <c r="D15" s="406"/>
      <c r="E15" s="279"/>
    </row>
    <row r="16" spans="1:5" s="1" customFormat="1" ht="12" customHeight="1" x14ac:dyDescent="0.2">
      <c r="A16" s="14" t="s">
        <v>101</v>
      </c>
      <c r="B16" s="426" t="s">
        <v>415</v>
      </c>
      <c r="C16" s="406"/>
      <c r="D16" s="406"/>
      <c r="E16" s="279"/>
    </row>
    <row r="17" spans="1:5" s="1" customFormat="1" ht="12" customHeight="1" x14ac:dyDescent="0.2">
      <c r="A17" s="14" t="s">
        <v>102</v>
      </c>
      <c r="B17" s="426" t="s">
        <v>248</v>
      </c>
      <c r="C17" s="406"/>
      <c r="D17" s="406"/>
      <c r="E17" s="279"/>
    </row>
    <row r="18" spans="1:5" s="1" customFormat="1" ht="12" customHeight="1" thickBot="1" x14ac:dyDescent="0.25">
      <c r="A18" s="16" t="s">
        <v>111</v>
      </c>
      <c r="B18" s="293" t="s">
        <v>249</v>
      </c>
      <c r="C18" s="408"/>
      <c r="D18" s="408"/>
      <c r="E18" s="281"/>
    </row>
    <row r="19" spans="1:5" s="1" customFormat="1" ht="12" customHeight="1" thickBot="1" x14ac:dyDescent="0.25">
      <c r="A19" s="20" t="s">
        <v>17</v>
      </c>
      <c r="B19" s="21" t="s">
        <v>250</v>
      </c>
      <c r="C19" s="405">
        <v>449045</v>
      </c>
      <c r="D19" s="405">
        <v>319681</v>
      </c>
      <c r="E19" s="278">
        <v>319681</v>
      </c>
    </row>
    <row r="20" spans="1:5" s="1" customFormat="1" ht="12" customHeight="1" x14ac:dyDescent="0.2">
      <c r="A20" s="15" t="s">
        <v>81</v>
      </c>
      <c r="B20" s="425" t="s">
        <v>251</v>
      </c>
      <c r="C20" s="407"/>
      <c r="D20" s="407"/>
      <c r="E20" s="280"/>
    </row>
    <row r="21" spans="1:5" s="1" customFormat="1" ht="12" customHeight="1" x14ac:dyDescent="0.2">
      <c r="A21" s="14" t="s">
        <v>82</v>
      </c>
      <c r="B21" s="426" t="s">
        <v>252</v>
      </c>
      <c r="C21" s="406"/>
      <c r="D21" s="406"/>
      <c r="E21" s="279"/>
    </row>
    <row r="22" spans="1:5" s="1" customFormat="1" ht="12" customHeight="1" x14ac:dyDescent="0.2">
      <c r="A22" s="14" t="s">
        <v>83</v>
      </c>
      <c r="B22" s="426" t="s">
        <v>416</v>
      </c>
      <c r="C22" s="406"/>
      <c r="D22" s="406"/>
      <c r="E22" s="279"/>
    </row>
    <row r="23" spans="1:5" s="1" customFormat="1" ht="12" customHeight="1" x14ac:dyDescent="0.2">
      <c r="A23" s="14" t="s">
        <v>84</v>
      </c>
      <c r="B23" s="426" t="s">
        <v>417</v>
      </c>
      <c r="C23" s="406"/>
      <c r="D23" s="406"/>
      <c r="E23" s="279"/>
    </row>
    <row r="24" spans="1:5" s="1" customFormat="1" ht="12" customHeight="1" x14ac:dyDescent="0.2">
      <c r="A24" s="14" t="s">
        <v>160</v>
      </c>
      <c r="B24" s="426" t="s">
        <v>253</v>
      </c>
      <c r="C24" s="406"/>
      <c r="D24" s="406"/>
      <c r="E24" s="279"/>
    </row>
    <row r="25" spans="1:5" s="1" customFormat="1" ht="12" customHeight="1" thickBot="1" x14ac:dyDescent="0.25">
      <c r="A25" s="16" t="s">
        <v>161</v>
      </c>
      <c r="B25" s="427" t="s">
        <v>254</v>
      </c>
      <c r="C25" s="408"/>
      <c r="D25" s="408"/>
      <c r="E25" s="281"/>
    </row>
    <row r="26" spans="1:5" s="1" customFormat="1" ht="12" customHeight="1" thickBot="1" x14ac:dyDescent="0.25">
      <c r="A26" s="20" t="s">
        <v>162</v>
      </c>
      <c r="B26" s="21" t="s">
        <v>255</v>
      </c>
      <c r="C26" s="412">
        <v>110488</v>
      </c>
      <c r="D26" s="412">
        <v>108475</v>
      </c>
      <c r="E26" s="456">
        <v>108475</v>
      </c>
    </row>
    <row r="27" spans="1:5" s="1" customFormat="1" ht="12" customHeight="1" x14ac:dyDescent="0.2">
      <c r="A27" s="15" t="s">
        <v>256</v>
      </c>
      <c r="B27" s="425" t="s">
        <v>543</v>
      </c>
      <c r="C27" s="407"/>
      <c r="D27" s="407"/>
      <c r="E27" s="297"/>
    </row>
    <row r="28" spans="1:5" s="1" customFormat="1" ht="12" customHeight="1" x14ac:dyDescent="0.2">
      <c r="A28" s="14" t="s">
        <v>257</v>
      </c>
      <c r="B28" s="426" t="s">
        <v>544</v>
      </c>
      <c r="C28" s="406"/>
      <c r="D28" s="406"/>
      <c r="E28" s="298"/>
    </row>
    <row r="29" spans="1:5" s="1" customFormat="1" ht="12" customHeight="1" x14ac:dyDescent="0.2">
      <c r="A29" s="14" t="s">
        <v>258</v>
      </c>
      <c r="B29" s="426" t="s">
        <v>545</v>
      </c>
      <c r="C29" s="406"/>
      <c r="D29" s="406"/>
      <c r="E29" s="298"/>
    </row>
    <row r="30" spans="1:5" s="1" customFormat="1" ht="12" customHeight="1" x14ac:dyDescent="0.2">
      <c r="A30" s="14" t="s">
        <v>259</v>
      </c>
      <c r="B30" s="426" t="s">
        <v>546</v>
      </c>
      <c r="C30" s="406"/>
      <c r="D30" s="406"/>
      <c r="E30" s="298"/>
    </row>
    <row r="31" spans="1:5" s="1" customFormat="1" ht="12" customHeight="1" x14ac:dyDescent="0.2">
      <c r="A31" s="14" t="s">
        <v>540</v>
      </c>
      <c r="B31" s="426" t="s">
        <v>260</v>
      </c>
      <c r="C31" s="406"/>
      <c r="D31" s="406"/>
      <c r="E31" s="298"/>
    </row>
    <row r="32" spans="1:5" s="1" customFormat="1" ht="12" customHeight="1" x14ac:dyDescent="0.2">
      <c r="A32" s="14" t="s">
        <v>541</v>
      </c>
      <c r="B32" s="426" t="s">
        <v>261</v>
      </c>
      <c r="C32" s="406"/>
      <c r="D32" s="406"/>
      <c r="E32" s="298"/>
    </row>
    <row r="33" spans="1:5" s="1" customFormat="1" ht="12" customHeight="1" thickBot="1" x14ac:dyDescent="0.25">
      <c r="A33" s="16" t="s">
        <v>542</v>
      </c>
      <c r="B33" s="427" t="s">
        <v>262</v>
      </c>
      <c r="C33" s="408"/>
      <c r="D33" s="408"/>
      <c r="E33" s="304"/>
    </row>
    <row r="34" spans="1:5" s="1" customFormat="1" ht="12" customHeight="1" thickBot="1" x14ac:dyDescent="0.25">
      <c r="A34" s="20" t="s">
        <v>19</v>
      </c>
      <c r="B34" s="21" t="s">
        <v>426</v>
      </c>
      <c r="C34" s="405">
        <v>100772</v>
      </c>
      <c r="D34" s="405">
        <v>93585</v>
      </c>
      <c r="E34" s="278">
        <v>93585</v>
      </c>
    </row>
    <row r="35" spans="1:5" s="1" customFormat="1" ht="12" customHeight="1" x14ac:dyDescent="0.2">
      <c r="A35" s="15" t="s">
        <v>85</v>
      </c>
      <c r="B35" s="425" t="s">
        <v>265</v>
      </c>
      <c r="C35" s="407"/>
      <c r="D35" s="407"/>
      <c r="E35" s="280"/>
    </row>
    <row r="36" spans="1:5" s="1" customFormat="1" ht="12" customHeight="1" x14ac:dyDescent="0.2">
      <c r="A36" s="14" t="s">
        <v>86</v>
      </c>
      <c r="B36" s="426" t="s">
        <v>266</v>
      </c>
      <c r="C36" s="406"/>
      <c r="D36" s="406"/>
      <c r="E36" s="279"/>
    </row>
    <row r="37" spans="1:5" s="1" customFormat="1" ht="12" customHeight="1" x14ac:dyDescent="0.2">
      <c r="A37" s="14" t="s">
        <v>87</v>
      </c>
      <c r="B37" s="426" t="s">
        <v>267</v>
      </c>
      <c r="C37" s="406"/>
      <c r="D37" s="406"/>
      <c r="E37" s="279"/>
    </row>
    <row r="38" spans="1:5" s="1" customFormat="1" ht="12" customHeight="1" x14ac:dyDescent="0.2">
      <c r="A38" s="14" t="s">
        <v>164</v>
      </c>
      <c r="B38" s="426" t="s">
        <v>268</v>
      </c>
      <c r="C38" s="406"/>
      <c r="D38" s="406"/>
      <c r="E38" s="279"/>
    </row>
    <row r="39" spans="1:5" s="1" customFormat="1" ht="12" customHeight="1" x14ac:dyDescent="0.2">
      <c r="A39" s="14" t="s">
        <v>165</v>
      </c>
      <c r="B39" s="426" t="s">
        <v>269</v>
      </c>
      <c r="C39" s="406"/>
      <c r="D39" s="406"/>
      <c r="E39" s="279"/>
    </row>
    <row r="40" spans="1:5" s="1" customFormat="1" ht="12" customHeight="1" x14ac:dyDescent="0.2">
      <c r="A40" s="14" t="s">
        <v>166</v>
      </c>
      <c r="B40" s="426" t="s">
        <v>270</v>
      </c>
      <c r="C40" s="406"/>
      <c r="D40" s="406"/>
      <c r="E40" s="279"/>
    </row>
    <row r="41" spans="1:5" s="1" customFormat="1" ht="12" customHeight="1" x14ac:dyDescent="0.2">
      <c r="A41" s="14" t="s">
        <v>167</v>
      </c>
      <c r="B41" s="426" t="s">
        <v>271</v>
      </c>
      <c r="C41" s="406"/>
      <c r="D41" s="406"/>
      <c r="E41" s="279"/>
    </row>
    <row r="42" spans="1:5" s="1" customFormat="1" ht="12" customHeight="1" x14ac:dyDescent="0.2">
      <c r="A42" s="14" t="s">
        <v>168</v>
      </c>
      <c r="B42" s="426" t="s">
        <v>547</v>
      </c>
      <c r="C42" s="406"/>
      <c r="D42" s="406"/>
      <c r="E42" s="279"/>
    </row>
    <row r="43" spans="1:5" s="1" customFormat="1" ht="12" customHeight="1" x14ac:dyDescent="0.2">
      <c r="A43" s="14" t="s">
        <v>263</v>
      </c>
      <c r="B43" s="426" t="s">
        <v>273</v>
      </c>
      <c r="C43" s="409"/>
      <c r="D43" s="409"/>
      <c r="E43" s="282"/>
    </row>
    <row r="44" spans="1:5" s="1" customFormat="1" ht="12" customHeight="1" x14ac:dyDescent="0.2">
      <c r="A44" s="16" t="s">
        <v>264</v>
      </c>
      <c r="B44" s="427" t="s">
        <v>428</v>
      </c>
      <c r="C44" s="410"/>
      <c r="D44" s="410"/>
      <c r="E44" s="283"/>
    </row>
    <row r="45" spans="1:5" s="1" customFormat="1" ht="12" customHeight="1" thickBot="1" x14ac:dyDescent="0.25">
      <c r="A45" s="16" t="s">
        <v>427</v>
      </c>
      <c r="B45" s="293" t="s">
        <v>274</v>
      </c>
      <c r="C45" s="410"/>
      <c r="D45" s="410"/>
      <c r="E45" s="283"/>
    </row>
    <row r="46" spans="1:5" s="1" customFormat="1" ht="12" customHeight="1" thickBot="1" x14ac:dyDescent="0.25">
      <c r="A46" s="20" t="s">
        <v>20</v>
      </c>
      <c r="B46" s="21" t="s">
        <v>275</v>
      </c>
      <c r="C46" s="405">
        <v>7799</v>
      </c>
      <c r="D46" s="405">
        <v>70643</v>
      </c>
      <c r="E46" s="278">
        <v>70643</v>
      </c>
    </row>
    <row r="47" spans="1:5" s="1" customFormat="1" ht="12" customHeight="1" x14ac:dyDescent="0.2">
      <c r="A47" s="15" t="s">
        <v>88</v>
      </c>
      <c r="B47" s="425" t="s">
        <v>279</v>
      </c>
      <c r="C47" s="472"/>
      <c r="D47" s="472"/>
      <c r="E47" s="289"/>
    </row>
    <row r="48" spans="1:5" s="1" customFormat="1" ht="12" customHeight="1" x14ac:dyDescent="0.2">
      <c r="A48" s="14" t="s">
        <v>89</v>
      </c>
      <c r="B48" s="426" t="s">
        <v>280</v>
      </c>
      <c r="C48" s="409"/>
      <c r="D48" s="409"/>
      <c r="E48" s="282"/>
    </row>
    <row r="49" spans="1:5" s="1" customFormat="1" ht="12" customHeight="1" x14ac:dyDescent="0.2">
      <c r="A49" s="14" t="s">
        <v>276</v>
      </c>
      <c r="B49" s="426" t="s">
        <v>281</v>
      </c>
      <c r="C49" s="409"/>
      <c r="D49" s="409"/>
      <c r="E49" s="282"/>
    </row>
    <row r="50" spans="1:5" s="1" customFormat="1" ht="12" customHeight="1" x14ac:dyDescent="0.2">
      <c r="A50" s="14" t="s">
        <v>277</v>
      </c>
      <c r="B50" s="426" t="s">
        <v>282</v>
      </c>
      <c r="C50" s="409"/>
      <c r="D50" s="409"/>
      <c r="E50" s="282"/>
    </row>
    <row r="51" spans="1:5" s="1" customFormat="1" ht="12" customHeight="1" thickBot="1" x14ac:dyDescent="0.25">
      <c r="A51" s="16" t="s">
        <v>278</v>
      </c>
      <c r="B51" s="293" t="s">
        <v>283</v>
      </c>
      <c r="C51" s="410"/>
      <c r="D51" s="410"/>
      <c r="E51" s="283"/>
    </row>
    <row r="52" spans="1:5" s="1" customFormat="1" ht="12" customHeight="1" thickBot="1" x14ac:dyDescent="0.25">
      <c r="A52" s="20" t="s">
        <v>169</v>
      </c>
      <c r="B52" s="21" t="s">
        <v>284</v>
      </c>
      <c r="C52" s="405">
        <v>0</v>
      </c>
      <c r="D52" s="405"/>
      <c r="E52" s="278">
        <f>SUM(E53:E55)</f>
        <v>0</v>
      </c>
    </row>
    <row r="53" spans="1:5" s="1" customFormat="1" ht="12" customHeight="1" x14ac:dyDescent="0.2">
      <c r="A53" s="15" t="s">
        <v>90</v>
      </c>
      <c r="B53" s="425" t="s">
        <v>285</v>
      </c>
      <c r="C53" s="407"/>
      <c r="D53" s="407"/>
      <c r="E53" s="280"/>
    </row>
    <row r="54" spans="1:5" s="1" customFormat="1" ht="12" customHeight="1" x14ac:dyDescent="0.2">
      <c r="A54" s="14" t="s">
        <v>91</v>
      </c>
      <c r="B54" s="426" t="s">
        <v>418</v>
      </c>
      <c r="C54" s="406"/>
      <c r="D54" s="406"/>
      <c r="E54" s="279"/>
    </row>
    <row r="55" spans="1:5" s="1" customFormat="1" ht="12" customHeight="1" x14ac:dyDescent="0.2">
      <c r="A55" s="14" t="s">
        <v>288</v>
      </c>
      <c r="B55" s="426" t="s">
        <v>286</v>
      </c>
      <c r="C55" s="406"/>
      <c r="D55" s="406"/>
      <c r="E55" s="279"/>
    </row>
    <row r="56" spans="1:5" s="1" customFormat="1" ht="12" customHeight="1" thickBot="1" x14ac:dyDescent="0.25">
      <c r="A56" s="16" t="s">
        <v>289</v>
      </c>
      <c r="B56" s="293" t="s">
        <v>287</v>
      </c>
      <c r="C56" s="408"/>
      <c r="D56" s="408"/>
      <c r="E56" s="281"/>
    </row>
    <row r="57" spans="1:5" s="1" customFormat="1" ht="12" customHeight="1" thickBot="1" x14ac:dyDescent="0.25">
      <c r="A57" s="20" t="s">
        <v>22</v>
      </c>
      <c r="B57" s="291" t="s">
        <v>290</v>
      </c>
      <c r="C57" s="405">
        <v>175</v>
      </c>
      <c r="D57" s="405">
        <v>1810</v>
      </c>
      <c r="E57" s="278">
        <v>1810</v>
      </c>
    </row>
    <row r="58" spans="1:5" s="1" customFormat="1" ht="12" customHeight="1" x14ac:dyDescent="0.2">
      <c r="A58" s="15" t="s">
        <v>170</v>
      </c>
      <c r="B58" s="425" t="s">
        <v>292</v>
      </c>
      <c r="C58" s="409"/>
      <c r="D58" s="409"/>
      <c r="E58" s="282"/>
    </row>
    <row r="59" spans="1:5" s="1" customFormat="1" ht="12" customHeight="1" x14ac:dyDescent="0.2">
      <c r="A59" s="14" t="s">
        <v>171</v>
      </c>
      <c r="B59" s="426" t="s">
        <v>419</v>
      </c>
      <c r="C59" s="409"/>
      <c r="D59" s="409"/>
      <c r="E59" s="282"/>
    </row>
    <row r="60" spans="1:5" s="1" customFormat="1" ht="12" customHeight="1" x14ac:dyDescent="0.2">
      <c r="A60" s="14" t="s">
        <v>216</v>
      </c>
      <c r="B60" s="426" t="s">
        <v>293</v>
      </c>
      <c r="C60" s="409"/>
      <c r="D60" s="409"/>
      <c r="E60" s="282"/>
    </row>
    <row r="61" spans="1:5" s="1" customFormat="1" ht="12" customHeight="1" thickBot="1" x14ac:dyDescent="0.25">
      <c r="A61" s="16" t="s">
        <v>291</v>
      </c>
      <c r="B61" s="293" t="s">
        <v>294</v>
      </c>
      <c r="C61" s="409"/>
      <c r="D61" s="409"/>
      <c r="E61" s="282"/>
    </row>
    <row r="62" spans="1:5" s="1" customFormat="1" ht="12" customHeight="1" thickBot="1" x14ac:dyDescent="0.25">
      <c r="A62" s="494" t="s">
        <v>468</v>
      </c>
      <c r="B62" s="21" t="s">
        <v>295</v>
      </c>
      <c r="C62" s="412">
        <f>+C5+C12+C19+C26+C34+C46+C52+C57</f>
        <v>1649612</v>
      </c>
      <c r="D62" s="412">
        <f>+D5+D12+D19+D26+D34+D46+D52+D57</f>
        <v>1426078</v>
      </c>
      <c r="E62" s="456">
        <f>+E5+E12+E19+E26+E34+E46+E52+E57</f>
        <v>1426078</v>
      </c>
    </row>
    <row r="63" spans="1:5" s="1" customFormat="1" ht="12" customHeight="1" thickBot="1" x14ac:dyDescent="0.25">
      <c r="A63" s="473" t="s">
        <v>296</v>
      </c>
      <c r="B63" s="291" t="s">
        <v>531</v>
      </c>
      <c r="C63" s="405">
        <f>SUM(C64:C66)</f>
        <v>9998</v>
      </c>
      <c r="D63" s="405">
        <f>SUM(D64:D66)</f>
        <v>16400</v>
      </c>
      <c r="E63" s="278">
        <f>SUM(E64:E66)</f>
        <v>16400</v>
      </c>
    </row>
    <row r="64" spans="1:5" s="1" customFormat="1" ht="12" customHeight="1" x14ac:dyDescent="0.2">
      <c r="A64" s="15" t="s">
        <v>328</v>
      </c>
      <c r="B64" s="425" t="s">
        <v>298</v>
      </c>
      <c r="C64" s="409">
        <v>9998</v>
      </c>
      <c r="D64" s="409">
        <v>16400</v>
      </c>
      <c r="E64" s="282">
        <v>16400</v>
      </c>
    </row>
    <row r="65" spans="1:7" s="1" customFormat="1" ht="12" customHeight="1" x14ac:dyDescent="0.2">
      <c r="A65" s="14" t="s">
        <v>337</v>
      </c>
      <c r="B65" s="426" t="s">
        <v>299</v>
      </c>
      <c r="C65" s="409"/>
      <c r="D65" s="409"/>
      <c r="E65" s="282"/>
    </row>
    <row r="66" spans="1:7" s="1" customFormat="1" ht="12" customHeight="1" thickBot="1" x14ac:dyDescent="0.25">
      <c r="A66" s="16" t="s">
        <v>338</v>
      </c>
      <c r="B66" s="488" t="s">
        <v>453</v>
      </c>
      <c r="C66" s="409"/>
      <c r="D66" s="409"/>
      <c r="E66" s="282"/>
    </row>
    <row r="67" spans="1:7" s="1" customFormat="1" ht="12" customHeight="1" thickBot="1" x14ac:dyDescent="0.25">
      <c r="A67" s="473" t="s">
        <v>301</v>
      </c>
      <c r="B67" s="291" t="s">
        <v>302</v>
      </c>
      <c r="C67" s="405">
        <f>SUM(C68:C71)</f>
        <v>0</v>
      </c>
      <c r="D67" s="405">
        <f>SUM(D68:D71)</f>
        <v>0</v>
      </c>
      <c r="E67" s="278">
        <f>SUM(E68:E71)</f>
        <v>0</v>
      </c>
    </row>
    <row r="68" spans="1:7" s="1" customFormat="1" ht="12" customHeight="1" x14ac:dyDescent="0.2">
      <c r="A68" s="15" t="s">
        <v>142</v>
      </c>
      <c r="B68" s="425" t="s">
        <v>303</v>
      </c>
      <c r="C68" s="409"/>
      <c r="D68" s="409"/>
      <c r="E68" s="282"/>
    </row>
    <row r="69" spans="1:7" s="1" customFormat="1" ht="17.25" customHeight="1" x14ac:dyDescent="0.25">
      <c r="A69" s="14" t="s">
        <v>143</v>
      </c>
      <c r="B69" s="426" t="s">
        <v>304</v>
      </c>
      <c r="C69" s="409"/>
      <c r="D69" s="409"/>
      <c r="E69" s="282"/>
      <c r="G69" s="43"/>
    </row>
    <row r="70" spans="1:7" s="1" customFormat="1" ht="12" customHeight="1" x14ac:dyDescent="0.2">
      <c r="A70" s="14" t="s">
        <v>329</v>
      </c>
      <c r="B70" s="426" t="s">
        <v>305</v>
      </c>
      <c r="C70" s="409"/>
      <c r="D70" s="409"/>
      <c r="E70" s="282"/>
    </row>
    <row r="71" spans="1:7" s="1" customFormat="1" ht="12" customHeight="1" thickBot="1" x14ac:dyDescent="0.25">
      <c r="A71" s="16" t="s">
        <v>330</v>
      </c>
      <c r="B71" s="293" t="s">
        <v>306</v>
      </c>
      <c r="C71" s="409"/>
      <c r="D71" s="409"/>
      <c r="E71" s="282"/>
    </row>
    <row r="72" spans="1:7" s="1" customFormat="1" ht="12" customHeight="1" thickBot="1" x14ac:dyDescent="0.25">
      <c r="A72" s="473" t="s">
        <v>307</v>
      </c>
      <c r="B72" s="291" t="s">
        <v>308</v>
      </c>
      <c r="C72" s="405">
        <f>SUM(C73:C74)</f>
        <v>191553</v>
      </c>
      <c r="D72" s="405">
        <f>SUM(D73:D74)</f>
        <v>683022</v>
      </c>
      <c r="E72" s="278">
        <f>SUM(E73:E74)</f>
        <v>683022</v>
      </c>
    </row>
    <row r="73" spans="1:7" s="1" customFormat="1" ht="12" customHeight="1" x14ac:dyDescent="0.2">
      <c r="A73" s="15" t="s">
        <v>331</v>
      </c>
      <c r="B73" s="425" t="s">
        <v>309</v>
      </c>
      <c r="C73" s="409">
        <v>190750</v>
      </c>
      <c r="D73" s="409">
        <v>683022</v>
      </c>
      <c r="E73" s="282">
        <v>683022</v>
      </c>
    </row>
    <row r="74" spans="1:7" s="1" customFormat="1" ht="12" customHeight="1" thickBot="1" x14ac:dyDescent="0.25">
      <c r="A74" s="16" t="s">
        <v>332</v>
      </c>
      <c r="B74" s="293" t="s">
        <v>310</v>
      </c>
      <c r="C74" s="409">
        <v>803</v>
      </c>
      <c r="D74" s="409"/>
      <c r="E74" s="282"/>
    </row>
    <row r="75" spans="1:7" s="1" customFormat="1" ht="12" customHeight="1" thickBot="1" x14ac:dyDescent="0.25">
      <c r="A75" s="473" t="s">
        <v>311</v>
      </c>
      <c r="B75" s="291" t="s">
        <v>312</v>
      </c>
      <c r="C75" s="405">
        <f>SUM(C76:C78)</f>
        <v>18607</v>
      </c>
      <c r="D75" s="405">
        <f>SUM(D76:D78)</f>
        <v>0</v>
      </c>
      <c r="E75" s="278">
        <f>SUM(E76:E78)</f>
        <v>0</v>
      </c>
    </row>
    <row r="76" spans="1:7" s="1" customFormat="1" ht="12" customHeight="1" x14ac:dyDescent="0.2">
      <c r="A76" s="15" t="s">
        <v>333</v>
      </c>
      <c r="B76" s="425" t="s">
        <v>313</v>
      </c>
      <c r="C76" s="409">
        <v>18607</v>
      </c>
      <c r="D76" s="409"/>
      <c r="E76" s="282"/>
    </row>
    <row r="77" spans="1:7" s="1" customFormat="1" ht="12" customHeight="1" x14ac:dyDescent="0.2">
      <c r="A77" s="14" t="s">
        <v>334</v>
      </c>
      <c r="B77" s="426" t="s">
        <v>314</v>
      </c>
      <c r="C77" s="409"/>
      <c r="D77" s="409"/>
      <c r="E77" s="282"/>
    </row>
    <row r="78" spans="1:7" s="1" customFormat="1" ht="12" customHeight="1" thickBot="1" x14ac:dyDescent="0.25">
      <c r="A78" s="16" t="s">
        <v>335</v>
      </c>
      <c r="B78" s="293" t="s">
        <v>315</v>
      </c>
      <c r="C78" s="409"/>
      <c r="D78" s="409"/>
      <c r="E78" s="282"/>
    </row>
    <row r="79" spans="1:7" s="1" customFormat="1" ht="12" customHeight="1" thickBot="1" x14ac:dyDescent="0.25">
      <c r="A79" s="473" t="s">
        <v>316</v>
      </c>
      <c r="B79" s="291" t="s">
        <v>336</v>
      </c>
      <c r="C79" s="405">
        <f>SUM(C80:C83)</f>
        <v>0</v>
      </c>
      <c r="D79" s="405">
        <f>SUM(D80:D83)</f>
        <v>0</v>
      </c>
      <c r="E79" s="278">
        <f>SUM(E80:E83)</f>
        <v>0</v>
      </c>
    </row>
    <row r="80" spans="1:7" s="1" customFormat="1" ht="12" customHeight="1" x14ac:dyDescent="0.2">
      <c r="A80" s="429" t="s">
        <v>317</v>
      </c>
      <c r="B80" s="425" t="s">
        <v>318</v>
      </c>
      <c r="C80" s="409"/>
      <c r="D80" s="409"/>
      <c r="E80" s="282"/>
    </row>
    <row r="81" spans="1:6" s="1" customFormat="1" ht="12" customHeight="1" x14ac:dyDescent="0.2">
      <c r="A81" s="430" t="s">
        <v>319</v>
      </c>
      <c r="B81" s="426" t="s">
        <v>320</v>
      </c>
      <c r="C81" s="409"/>
      <c r="D81" s="409"/>
      <c r="E81" s="282"/>
    </row>
    <row r="82" spans="1:6" s="1" customFormat="1" ht="12" customHeight="1" x14ac:dyDescent="0.2">
      <c r="A82" s="430" t="s">
        <v>321</v>
      </c>
      <c r="B82" s="426" t="s">
        <v>322</v>
      </c>
      <c r="C82" s="409"/>
      <c r="D82" s="409"/>
      <c r="E82" s="282"/>
    </row>
    <row r="83" spans="1:6" s="1" customFormat="1" ht="12" customHeight="1" thickBot="1" x14ac:dyDescent="0.25">
      <c r="A83" s="431" t="s">
        <v>323</v>
      </c>
      <c r="B83" s="293" t="s">
        <v>324</v>
      </c>
      <c r="C83" s="409"/>
      <c r="D83" s="409"/>
      <c r="E83" s="282"/>
    </row>
    <row r="84" spans="1:6" s="1" customFormat="1" ht="12" customHeight="1" thickBot="1" x14ac:dyDescent="0.25">
      <c r="A84" s="473" t="s">
        <v>325</v>
      </c>
      <c r="B84" s="291" t="s">
        <v>467</v>
      </c>
      <c r="C84" s="475"/>
      <c r="D84" s="475"/>
      <c r="E84" s="476"/>
    </row>
    <row r="85" spans="1:6" s="1" customFormat="1" ht="12" customHeight="1" thickBot="1" x14ac:dyDescent="0.25">
      <c r="A85" s="473" t="s">
        <v>327</v>
      </c>
      <c r="B85" s="291" t="s">
        <v>326</v>
      </c>
      <c r="C85" s="475"/>
      <c r="D85" s="475"/>
      <c r="E85" s="476"/>
    </row>
    <row r="86" spans="1:6" s="1" customFormat="1" ht="12" customHeight="1" thickBot="1" x14ac:dyDescent="0.25">
      <c r="A86" s="473" t="s">
        <v>339</v>
      </c>
      <c r="B86" s="432" t="s">
        <v>470</v>
      </c>
      <c r="C86" s="412">
        <f>+C63+C67+C72+C75+C79+C85+C84</f>
        <v>220158</v>
      </c>
      <c r="D86" s="412">
        <f>+D63+D67+D72+D75+D79+D85+D84</f>
        <v>699422</v>
      </c>
      <c r="E86" s="456">
        <f>+E63+E67+E72+E75+E79+E85+E84</f>
        <v>699422</v>
      </c>
    </row>
    <row r="87" spans="1:6" s="1" customFormat="1" ht="12" customHeight="1" thickBot="1" x14ac:dyDescent="0.25">
      <c r="A87" s="474" t="s">
        <v>469</v>
      </c>
      <c r="B87" s="433" t="s">
        <v>471</v>
      </c>
      <c r="C87" s="412">
        <f>+C62+C86</f>
        <v>1869770</v>
      </c>
      <c r="D87" s="412">
        <f>+D62+D86</f>
        <v>2125500</v>
      </c>
      <c r="E87" s="456">
        <f>+E62+E86</f>
        <v>2125500</v>
      </c>
    </row>
    <row r="88" spans="1:6" s="1" customFormat="1" ht="12" customHeight="1" x14ac:dyDescent="0.2">
      <c r="A88" s="374"/>
      <c r="B88" s="375"/>
      <c r="C88" s="376"/>
      <c r="D88" s="377"/>
      <c r="E88" s="378"/>
    </row>
    <row r="89" spans="1:6" s="1" customFormat="1" ht="12" customHeight="1" x14ac:dyDescent="0.2">
      <c r="A89" s="675" t="s">
        <v>44</v>
      </c>
      <c r="B89" s="675"/>
      <c r="C89" s="675"/>
      <c r="D89" s="675"/>
      <c r="E89" s="675"/>
    </row>
    <row r="90" spans="1:6" s="1" customFormat="1" ht="12" customHeight="1" thickBot="1" x14ac:dyDescent="0.25">
      <c r="A90" s="677" t="s">
        <v>146</v>
      </c>
      <c r="B90" s="677"/>
      <c r="C90" s="391"/>
      <c r="D90" s="147"/>
      <c r="E90" s="306" t="s">
        <v>215</v>
      </c>
    </row>
    <row r="91" spans="1:6" s="1" customFormat="1" ht="24" customHeight="1" thickBot="1" x14ac:dyDescent="0.25">
      <c r="A91" s="23" t="s">
        <v>13</v>
      </c>
      <c r="B91" s="24" t="s">
        <v>45</v>
      </c>
      <c r="C91" s="24" t="str">
        <f>+C3</f>
        <v>2017. évi tény</v>
      </c>
      <c r="D91" s="24" t="str">
        <f>+D3</f>
        <v>2018. évi várható</v>
      </c>
      <c r="E91" s="168" t="str">
        <f>+E3</f>
        <v>2019. évi előirányzat</v>
      </c>
      <c r="F91" s="155"/>
    </row>
    <row r="92" spans="1:6" s="1" customFormat="1" ht="12" customHeight="1" thickBot="1" x14ac:dyDescent="0.25">
      <c r="A92" s="33" t="s">
        <v>484</v>
      </c>
      <c r="B92" s="34" t="s">
        <v>485</v>
      </c>
      <c r="C92" s="34" t="s">
        <v>486</v>
      </c>
      <c r="D92" s="34" t="s">
        <v>488</v>
      </c>
      <c r="E92" s="457" t="s">
        <v>487</v>
      </c>
      <c r="F92" s="155"/>
    </row>
    <row r="93" spans="1:6" s="1" customFormat="1" ht="15" customHeight="1" thickBot="1" x14ac:dyDescent="0.25">
      <c r="A93" s="22" t="s">
        <v>15</v>
      </c>
      <c r="B93" s="28" t="s">
        <v>429</v>
      </c>
      <c r="C93" s="404">
        <f>C94+C95+C96+C97+C98+C111</f>
        <v>1007871</v>
      </c>
      <c r="D93" s="404">
        <f>D94+D95+D96+D97+D98+D111</f>
        <v>1247451</v>
      </c>
      <c r="E93" s="498">
        <f>E94+E95+E96+E97+E98+E111</f>
        <v>1247451</v>
      </c>
      <c r="F93" s="155"/>
    </row>
    <row r="94" spans="1:6" s="1" customFormat="1" ht="12.95" customHeight="1" x14ac:dyDescent="0.2">
      <c r="A94" s="17" t="s">
        <v>92</v>
      </c>
      <c r="B94" s="10" t="s">
        <v>46</v>
      </c>
      <c r="C94" s="505">
        <v>520831</v>
      </c>
      <c r="D94" s="505">
        <v>534625</v>
      </c>
      <c r="E94" s="499">
        <v>534625</v>
      </c>
    </row>
    <row r="95" spans="1:6" ht="16.5" customHeight="1" x14ac:dyDescent="0.25">
      <c r="A95" s="14" t="s">
        <v>93</v>
      </c>
      <c r="B95" s="8" t="s">
        <v>172</v>
      </c>
      <c r="C95" s="406">
        <v>93648</v>
      </c>
      <c r="D95" s="406">
        <v>92088</v>
      </c>
      <c r="E95" s="279">
        <v>92088</v>
      </c>
    </row>
    <row r="96" spans="1:6" x14ac:dyDescent="0.25">
      <c r="A96" s="14" t="s">
        <v>94</v>
      </c>
      <c r="B96" s="8" t="s">
        <v>134</v>
      </c>
      <c r="C96" s="408">
        <v>351274</v>
      </c>
      <c r="D96" s="408">
        <v>507134</v>
      </c>
      <c r="E96" s="281">
        <v>507134</v>
      </c>
    </row>
    <row r="97" spans="1:5" s="42" customFormat="1" ht="12" customHeight="1" x14ac:dyDescent="0.2">
      <c r="A97" s="14" t="s">
        <v>95</v>
      </c>
      <c r="B97" s="11" t="s">
        <v>173</v>
      </c>
      <c r="C97" s="408">
        <v>15812</v>
      </c>
      <c r="D97" s="408">
        <v>21950</v>
      </c>
      <c r="E97" s="281">
        <v>21950</v>
      </c>
    </row>
    <row r="98" spans="1:5" ht="12" customHeight="1" x14ac:dyDescent="0.25">
      <c r="A98" s="14" t="s">
        <v>106</v>
      </c>
      <c r="B98" s="19" t="s">
        <v>174</v>
      </c>
      <c r="C98" s="408">
        <v>26306</v>
      </c>
      <c r="D98" s="408">
        <v>21130</v>
      </c>
      <c r="E98" s="281">
        <v>21130</v>
      </c>
    </row>
    <row r="99" spans="1:5" ht="12" customHeight="1" x14ac:dyDescent="0.25">
      <c r="A99" s="14" t="s">
        <v>96</v>
      </c>
      <c r="B99" s="8" t="s">
        <v>434</v>
      </c>
      <c r="C99" s="408"/>
      <c r="D99" s="408"/>
      <c r="E99" s="281"/>
    </row>
    <row r="100" spans="1:5" ht="12" customHeight="1" x14ac:dyDescent="0.25">
      <c r="A100" s="14" t="s">
        <v>97</v>
      </c>
      <c r="B100" s="151" t="s">
        <v>433</v>
      </c>
      <c r="C100" s="408"/>
      <c r="D100" s="408"/>
      <c r="E100" s="281"/>
    </row>
    <row r="101" spans="1:5" ht="12" customHeight="1" x14ac:dyDescent="0.25">
      <c r="A101" s="14" t="s">
        <v>107</v>
      </c>
      <c r="B101" s="151" t="s">
        <v>432</v>
      </c>
      <c r="C101" s="408"/>
      <c r="D101" s="408"/>
      <c r="E101" s="281"/>
    </row>
    <row r="102" spans="1:5" ht="12" customHeight="1" x14ac:dyDescent="0.25">
      <c r="A102" s="14" t="s">
        <v>108</v>
      </c>
      <c r="B102" s="149" t="s">
        <v>342</v>
      </c>
      <c r="C102" s="408"/>
      <c r="D102" s="408"/>
      <c r="E102" s="281"/>
    </row>
    <row r="103" spans="1:5" ht="12" customHeight="1" x14ac:dyDescent="0.25">
      <c r="A103" s="14" t="s">
        <v>109</v>
      </c>
      <c r="B103" s="150" t="s">
        <v>343</v>
      </c>
      <c r="C103" s="408"/>
      <c r="D103" s="408"/>
      <c r="E103" s="281"/>
    </row>
    <row r="104" spans="1:5" ht="12" customHeight="1" x14ac:dyDescent="0.25">
      <c r="A104" s="14" t="s">
        <v>110</v>
      </c>
      <c r="B104" s="150" t="s">
        <v>344</v>
      </c>
      <c r="C104" s="408"/>
      <c r="D104" s="408"/>
      <c r="E104" s="281"/>
    </row>
    <row r="105" spans="1:5" ht="12" customHeight="1" x14ac:dyDescent="0.25">
      <c r="A105" s="14" t="s">
        <v>112</v>
      </c>
      <c r="B105" s="149" t="s">
        <v>345</v>
      </c>
      <c r="C105" s="408"/>
      <c r="D105" s="408"/>
      <c r="E105" s="281"/>
    </row>
    <row r="106" spans="1:5" ht="12" customHeight="1" x14ac:dyDescent="0.25">
      <c r="A106" s="14" t="s">
        <v>175</v>
      </c>
      <c r="B106" s="149" t="s">
        <v>346</v>
      </c>
      <c r="C106" s="408"/>
      <c r="D106" s="408"/>
      <c r="E106" s="281"/>
    </row>
    <row r="107" spans="1:5" ht="12" customHeight="1" x14ac:dyDescent="0.25">
      <c r="A107" s="14" t="s">
        <v>340</v>
      </c>
      <c r="B107" s="150" t="s">
        <v>347</v>
      </c>
      <c r="C107" s="408"/>
      <c r="D107" s="408"/>
      <c r="E107" s="281"/>
    </row>
    <row r="108" spans="1:5" ht="12" customHeight="1" x14ac:dyDescent="0.25">
      <c r="A108" s="13" t="s">
        <v>341</v>
      </c>
      <c r="B108" s="151" t="s">
        <v>348</v>
      </c>
      <c r="C108" s="408"/>
      <c r="D108" s="408"/>
      <c r="E108" s="281"/>
    </row>
    <row r="109" spans="1:5" ht="12" customHeight="1" x14ac:dyDescent="0.25">
      <c r="A109" s="14" t="s">
        <v>430</v>
      </c>
      <c r="B109" s="151" t="s">
        <v>349</v>
      </c>
      <c r="C109" s="408"/>
      <c r="D109" s="408"/>
      <c r="E109" s="281"/>
    </row>
    <row r="110" spans="1:5" ht="12" customHeight="1" x14ac:dyDescent="0.25">
      <c r="A110" s="16" t="s">
        <v>431</v>
      </c>
      <c r="B110" s="151" t="s">
        <v>350</v>
      </c>
      <c r="C110" s="408"/>
      <c r="D110" s="408"/>
      <c r="E110" s="281"/>
    </row>
    <row r="111" spans="1:5" ht="12" customHeight="1" x14ac:dyDescent="0.25">
      <c r="A111" s="14" t="s">
        <v>435</v>
      </c>
      <c r="B111" s="11" t="s">
        <v>47</v>
      </c>
      <c r="C111" s="406"/>
      <c r="D111" s="406">
        <v>70524</v>
      </c>
      <c r="E111" s="279">
        <v>70524</v>
      </c>
    </row>
    <row r="112" spans="1:5" ht="12" customHeight="1" x14ac:dyDescent="0.25">
      <c r="A112" s="14" t="s">
        <v>436</v>
      </c>
      <c r="B112" s="8" t="s">
        <v>438</v>
      </c>
      <c r="C112" s="406"/>
      <c r="D112" s="406"/>
      <c r="E112" s="279"/>
    </row>
    <row r="113" spans="1:5" ht="12" customHeight="1" thickBot="1" x14ac:dyDescent="0.3">
      <c r="A113" s="18" t="s">
        <v>437</v>
      </c>
      <c r="B113" s="492" t="s">
        <v>439</v>
      </c>
      <c r="C113" s="506"/>
      <c r="D113" s="506"/>
      <c r="E113" s="500"/>
    </row>
    <row r="114" spans="1:5" ht="12" customHeight="1" thickBot="1" x14ac:dyDescent="0.3">
      <c r="A114" s="489" t="s">
        <v>16</v>
      </c>
      <c r="B114" s="490" t="s">
        <v>351</v>
      </c>
      <c r="C114" s="507">
        <f>+C115+C117+C119</f>
        <v>86734</v>
      </c>
      <c r="D114" s="507">
        <f>+D115+D117+D119</f>
        <v>854138</v>
      </c>
      <c r="E114" s="501">
        <f>+E115+E117+E119</f>
        <v>854138</v>
      </c>
    </row>
    <row r="115" spans="1:5" ht="12" customHeight="1" x14ac:dyDescent="0.25">
      <c r="A115" s="15" t="s">
        <v>98</v>
      </c>
      <c r="B115" s="8" t="s">
        <v>214</v>
      </c>
      <c r="C115" s="407">
        <v>70322</v>
      </c>
      <c r="D115" s="407">
        <v>839560</v>
      </c>
      <c r="E115" s="280">
        <v>839560</v>
      </c>
    </row>
    <row r="116" spans="1:5" x14ac:dyDescent="0.25">
      <c r="A116" s="15" t="s">
        <v>99</v>
      </c>
      <c r="B116" s="12" t="s">
        <v>355</v>
      </c>
      <c r="C116" s="407"/>
      <c r="D116" s="407"/>
      <c r="E116" s="280"/>
    </row>
    <row r="117" spans="1:5" ht="12" customHeight="1" x14ac:dyDescent="0.25">
      <c r="A117" s="15" t="s">
        <v>100</v>
      </c>
      <c r="B117" s="12" t="s">
        <v>176</v>
      </c>
      <c r="C117" s="406">
        <v>16412</v>
      </c>
      <c r="D117" s="406">
        <v>10509</v>
      </c>
      <c r="E117" s="279">
        <v>10509</v>
      </c>
    </row>
    <row r="118" spans="1:5" ht="12" customHeight="1" x14ac:dyDescent="0.25">
      <c r="A118" s="15" t="s">
        <v>101</v>
      </c>
      <c r="B118" s="12" t="s">
        <v>356</v>
      </c>
      <c r="C118" s="406"/>
      <c r="D118" s="406"/>
      <c r="E118" s="279"/>
    </row>
    <row r="119" spans="1:5" ht="12" customHeight="1" x14ac:dyDescent="0.25">
      <c r="A119" s="15" t="s">
        <v>102</v>
      </c>
      <c r="B119" s="293" t="s">
        <v>217</v>
      </c>
      <c r="C119" s="406">
        <v>0</v>
      </c>
      <c r="D119" s="406">
        <v>4069</v>
      </c>
      <c r="E119" s="279">
        <v>4069</v>
      </c>
    </row>
    <row r="120" spans="1:5" ht="12" customHeight="1" x14ac:dyDescent="0.25">
      <c r="A120" s="15" t="s">
        <v>111</v>
      </c>
      <c r="B120" s="292" t="s">
        <v>420</v>
      </c>
      <c r="C120" s="406"/>
      <c r="D120" s="406"/>
      <c r="E120" s="279"/>
    </row>
    <row r="121" spans="1:5" ht="12" customHeight="1" x14ac:dyDescent="0.25">
      <c r="A121" s="15" t="s">
        <v>113</v>
      </c>
      <c r="B121" s="421" t="s">
        <v>361</v>
      </c>
      <c r="C121" s="406"/>
      <c r="D121" s="406"/>
      <c r="E121" s="279"/>
    </row>
    <row r="122" spans="1:5" ht="12" customHeight="1" x14ac:dyDescent="0.25">
      <c r="A122" s="15" t="s">
        <v>177</v>
      </c>
      <c r="B122" s="150" t="s">
        <v>344</v>
      </c>
      <c r="C122" s="406"/>
      <c r="D122" s="406"/>
      <c r="E122" s="279"/>
    </row>
    <row r="123" spans="1:5" ht="12" customHeight="1" x14ac:dyDescent="0.25">
      <c r="A123" s="15" t="s">
        <v>178</v>
      </c>
      <c r="B123" s="150" t="s">
        <v>360</v>
      </c>
      <c r="C123" s="406"/>
      <c r="D123" s="406"/>
      <c r="E123" s="279"/>
    </row>
    <row r="124" spans="1:5" ht="12" customHeight="1" x14ac:dyDescent="0.25">
      <c r="A124" s="15" t="s">
        <v>179</v>
      </c>
      <c r="B124" s="150" t="s">
        <v>359</v>
      </c>
      <c r="C124" s="406"/>
      <c r="D124" s="406"/>
      <c r="E124" s="279"/>
    </row>
    <row r="125" spans="1:5" ht="12" customHeight="1" x14ac:dyDescent="0.25">
      <c r="A125" s="15" t="s">
        <v>352</v>
      </c>
      <c r="B125" s="150" t="s">
        <v>347</v>
      </c>
      <c r="C125" s="406"/>
      <c r="D125" s="406"/>
      <c r="E125" s="279"/>
    </row>
    <row r="126" spans="1:5" ht="12" customHeight="1" x14ac:dyDescent="0.25">
      <c r="A126" s="15" t="s">
        <v>353</v>
      </c>
      <c r="B126" s="150" t="s">
        <v>358</v>
      </c>
      <c r="C126" s="406"/>
      <c r="D126" s="406"/>
      <c r="E126" s="279"/>
    </row>
    <row r="127" spans="1:5" ht="12" customHeight="1" thickBot="1" x14ac:dyDescent="0.3">
      <c r="A127" s="13" t="s">
        <v>354</v>
      </c>
      <c r="B127" s="150" t="s">
        <v>357</v>
      </c>
      <c r="C127" s="408"/>
      <c r="D127" s="408"/>
      <c r="E127" s="281"/>
    </row>
    <row r="128" spans="1:5" ht="12" customHeight="1" thickBot="1" x14ac:dyDescent="0.3">
      <c r="A128" s="20" t="s">
        <v>17</v>
      </c>
      <c r="B128" s="132" t="s">
        <v>440</v>
      </c>
      <c r="C128" s="405">
        <f>+C93+C114</f>
        <v>1094605</v>
      </c>
      <c r="D128" s="405">
        <f>+D93+D114</f>
        <v>2101589</v>
      </c>
      <c r="E128" s="278">
        <f>+E93+E114</f>
        <v>2101589</v>
      </c>
    </row>
    <row r="129" spans="1:5" ht="12" customHeight="1" thickBot="1" x14ac:dyDescent="0.3">
      <c r="A129" s="20" t="s">
        <v>18</v>
      </c>
      <c r="B129" s="132" t="s">
        <v>441</v>
      </c>
      <c r="C129" s="405">
        <f>+C130+C131+C132</f>
        <v>3532</v>
      </c>
      <c r="D129" s="405">
        <f>+D130+D131+D132</f>
        <v>4272</v>
      </c>
      <c r="E129" s="278">
        <f>+E130+E131+E132</f>
        <v>4272</v>
      </c>
    </row>
    <row r="130" spans="1:5" ht="12" customHeight="1" x14ac:dyDescent="0.25">
      <c r="A130" s="15" t="s">
        <v>256</v>
      </c>
      <c r="B130" s="12" t="s">
        <v>448</v>
      </c>
      <c r="C130" s="406">
        <v>3532</v>
      </c>
      <c r="D130" s="406">
        <v>4272</v>
      </c>
      <c r="E130" s="279">
        <v>4272</v>
      </c>
    </row>
    <row r="131" spans="1:5" ht="12" customHeight="1" x14ac:dyDescent="0.25">
      <c r="A131" s="15" t="s">
        <v>257</v>
      </c>
      <c r="B131" s="12" t="s">
        <v>449</v>
      </c>
      <c r="C131" s="406"/>
      <c r="D131" s="406"/>
      <c r="E131" s="279"/>
    </row>
    <row r="132" spans="1:5" ht="12" customHeight="1" thickBot="1" x14ac:dyDescent="0.3">
      <c r="A132" s="13" t="s">
        <v>258</v>
      </c>
      <c r="B132" s="12" t="s">
        <v>450</v>
      </c>
      <c r="C132" s="406"/>
      <c r="D132" s="406"/>
      <c r="E132" s="279"/>
    </row>
    <row r="133" spans="1:5" ht="12" customHeight="1" thickBot="1" x14ac:dyDescent="0.3">
      <c r="A133" s="20" t="s">
        <v>19</v>
      </c>
      <c r="B133" s="132" t="s">
        <v>442</v>
      </c>
      <c r="C133" s="405">
        <f>SUM(C134:C139)</f>
        <v>0</v>
      </c>
      <c r="D133" s="405">
        <f>SUM(D134:D139)</f>
        <v>0</v>
      </c>
      <c r="E133" s="278">
        <f>SUM(E134:E139)</f>
        <v>0</v>
      </c>
    </row>
    <row r="134" spans="1:5" ht="12" customHeight="1" x14ac:dyDescent="0.25">
      <c r="A134" s="15" t="s">
        <v>85</v>
      </c>
      <c r="B134" s="9" t="s">
        <v>451</v>
      </c>
      <c r="C134" s="406"/>
      <c r="D134" s="406"/>
      <c r="E134" s="279"/>
    </row>
    <row r="135" spans="1:5" ht="12" customHeight="1" x14ac:dyDescent="0.25">
      <c r="A135" s="15" t="s">
        <v>86</v>
      </c>
      <c r="B135" s="9" t="s">
        <v>443</v>
      </c>
      <c r="C135" s="406"/>
      <c r="D135" s="406"/>
      <c r="E135" s="279"/>
    </row>
    <row r="136" spans="1:5" ht="12" customHeight="1" x14ac:dyDescent="0.25">
      <c r="A136" s="15" t="s">
        <v>87</v>
      </c>
      <c r="B136" s="9" t="s">
        <v>444</v>
      </c>
      <c r="C136" s="406"/>
      <c r="D136" s="406"/>
      <c r="E136" s="279"/>
    </row>
    <row r="137" spans="1:5" ht="12" customHeight="1" x14ac:dyDescent="0.25">
      <c r="A137" s="15" t="s">
        <v>164</v>
      </c>
      <c r="B137" s="9" t="s">
        <v>445</v>
      </c>
      <c r="C137" s="406"/>
      <c r="D137" s="406"/>
      <c r="E137" s="279"/>
    </row>
    <row r="138" spans="1:5" ht="12" customHeight="1" x14ac:dyDescent="0.25">
      <c r="A138" s="15" t="s">
        <v>165</v>
      </c>
      <c r="B138" s="9" t="s">
        <v>446</v>
      </c>
      <c r="C138" s="406"/>
      <c r="D138" s="406"/>
      <c r="E138" s="279"/>
    </row>
    <row r="139" spans="1:5" ht="12" customHeight="1" thickBot="1" x14ac:dyDescent="0.3">
      <c r="A139" s="13" t="s">
        <v>166</v>
      </c>
      <c r="B139" s="9" t="s">
        <v>447</v>
      </c>
      <c r="C139" s="406"/>
      <c r="D139" s="406"/>
      <c r="E139" s="279"/>
    </row>
    <row r="140" spans="1:5" ht="12" customHeight="1" thickBot="1" x14ac:dyDescent="0.3">
      <c r="A140" s="20" t="s">
        <v>20</v>
      </c>
      <c r="B140" s="132" t="s">
        <v>455</v>
      </c>
      <c r="C140" s="412">
        <f>+C141+C142+C143+C144</f>
        <v>19096</v>
      </c>
      <c r="D140" s="412">
        <f>+D141+D142+D143+D144</f>
        <v>19640</v>
      </c>
      <c r="E140" s="456">
        <f>+E141+E142+E143+E144</f>
        <v>19640</v>
      </c>
    </row>
    <row r="141" spans="1:5" ht="12" customHeight="1" x14ac:dyDescent="0.25">
      <c r="A141" s="15" t="s">
        <v>88</v>
      </c>
      <c r="B141" s="9" t="s">
        <v>362</v>
      </c>
      <c r="C141" s="406"/>
      <c r="D141" s="406"/>
      <c r="E141" s="279"/>
    </row>
    <row r="142" spans="1:5" ht="12" customHeight="1" x14ac:dyDescent="0.25">
      <c r="A142" s="15" t="s">
        <v>89</v>
      </c>
      <c r="B142" s="9" t="s">
        <v>363</v>
      </c>
      <c r="C142" s="406">
        <v>18143</v>
      </c>
      <c r="D142" s="406">
        <v>18607</v>
      </c>
      <c r="E142" s="279">
        <v>18607</v>
      </c>
    </row>
    <row r="143" spans="1:5" ht="12" customHeight="1" x14ac:dyDescent="0.25">
      <c r="A143" s="15" t="s">
        <v>276</v>
      </c>
      <c r="B143" s="9" t="s">
        <v>456</v>
      </c>
      <c r="C143" s="406"/>
      <c r="D143" s="406"/>
      <c r="E143" s="279"/>
    </row>
    <row r="144" spans="1:5" ht="12" customHeight="1" thickBot="1" x14ac:dyDescent="0.3">
      <c r="A144" s="13" t="s">
        <v>277</v>
      </c>
      <c r="B144" s="7" t="s">
        <v>382</v>
      </c>
      <c r="C144" s="406">
        <v>953</v>
      </c>
      <c r="D144" s="406">
        <v>1033</v>
      </c>
      <c r="E144" s="279">
        <v>1033</v>
      </c>
    </row>
    <row r="145" spans="1:6" ht="12" customHeight="1" thickBot="1" x14ac:dyDescent="0.3">
      <c r="A145" s="20" t="s">
        <v>21</v>
      </c>
      <c r="B145" s="132" t="s">
        <v>457</v>
      </c>
      <c r="C145" s="508">
        <f>SUM(C146:C150)</f>
        <v>0</v>
      </c>
      <c r="D145" s="508">
        <f>SUM(D146:D150)</f>
        <v>0</v>
      </c>
      <c r="E145" s="502">
        <f>SUM(E146:E150)</f>
        <v>0</v>
      </c>
    </row>
    <row r="146" spans="1:6" ht="12" customHeight="1" x14ac:dyDescent="0.25">
      <c r="A146" s="15" t="s">
        <v>90</v>
      </c>
      <c r="B146" s="9" t="s">
        <v>452</v>
      </c>
      <c r="C146" s="406"/>
      <c r="D146" s="406"/>
      <c r="E146" s="279"/>
    </row>
    <row r="147" spans="1:6" ht="12" customHeight="1" x14ac:dyDescent="0.25">
      <c r="A147" s="15" t="s">
        <v>91</v>
      </c>
      <c r="B147" s="9" t="s">
        <v>459</v>
      </c>
      <c r="C147" s="406"/>
      <c r="D147" s="406"/>
      <c r="E147" s="279"/>
    </row>
    <row r="148" spans="1:6" ht="12" customHeight="1" x14ac:dyDescent="0.25">
      <c r="A148" s="15" t="s">
        <v>288</v>
      </c>
      <c r="B148" s="9" t="s">
        <v>454</v>
      </c>
      <c r="C148" s="406"/>
      <c r="D148" s="406"/>
      <c r="E148" s="279"/>
    </row>
    <row r="149" spans="1:6" ht="12" customHeight="1" x14ac:dyDescent="0.25">
      <c r="A149" s="15" t="s">
        <v>289</v>
      </c>
      <c r="B149" s="9" t="s">
        <v>460</v>
      </c>
      <c r="C149" s="406"/>
      <c r="D149" s="406"/>
      <c r="E149" s="279"/>
    </row>
    <row r="150" spans="1:6" ht="12" customHeight="1" thickBot="1" x14ac:dyDescent="0.3">
      <c r="A150" s="15" t="s">
        <v>458</v>
      </c>
      <c r="B150" s="9" t="s">
        <v>461</v>
      </c>
      <c r="C150" s="406"/>
      <c r="D150" s="406"/>
      <c r="E150" s="279"/>
    </row>
    <row r="151" spans="1:6" ht="12" customHeight="1" thickBot="1" x14ac:dyDescent="0.3">
      <c r="A151" s="20" t="s">
        <v>22</v>
      </c>
      <c r="B151" s="132" t="s">
        <v>462</v>
      </c>
      <c r="C151" s="509"/>
      <c r="D151" s="509"/>
      <c r="E151" s="503"/>
    </row>
    <row r="152" spans="1:6" ht="12" customHeight="1" thickBot="1" x14ac:dyDescent="0.3">
      <c r="A152" s="20" t="s">
        <v>23</v>
      </c>
      <c r="B152" s="132" t="s">
        <v>463</v>
      </c>
      <c r="C152" s="509"/>
      <c r="D152" s="509"/>
      <c r="E152" s="503"/>
    </row>
    <row r="153" spans="1:6" ht="15" customHeight="1" thickBot="1" x14ac:dyDescent="0.3">
      <c r="A153" s="20" t="s">
        <v>24</v>
      </c>
      <c r="B153" s="132" t="s">
        <v>465</v>
      </c>
      <c r="C153" s="510">
        <f>+C129+C133+C140+C145+C151+C152</f>
        <v>22628</v>
      </c>
      <c r="D153" s="510">
        <f>+D129+D133+D140+D145+D151+D152</f>
        <v>23912</v>
      </c>
      <c r="E153" s="504">
        <f>+E129+E133+E140+E145+E151+E152</f>
        <v>23912</v>
      </c>
      <c r="F153" s="133"/>
    </row>
    <row r="154" spans="1:6" s="1" customFormat="1" ht="12.95" customHeight="1" thickBot="1" x14ac:dyDescent="0.25">
      <c r="A154" s="294" t="s">
        <v>25</v>
      </c>
      <c r="B154" s="387" t="s">
        <v>464</v>
      </c>
      <c r="C154" s="510">
        <f>+C128+C153</f>
        <v>1117233</v>
      </c>
      <c r="D154" s="510">
        <f>+D128+D153</f>
        <v>2125501</v>
      </c>
      <c r="E154" s="504">
        <f>+E128+E153</f>
        <v>2125501</v>
      </c>
    </row>
    <row r="155" spans="1:6" x14ac:dyDescent="0.25">
      <c r="C155" s="390"/>
    </row>
    <row r="156" spans="1:6" x14ac:dyDescent="0.25">
      <c r="C156" s="390"/>
    </row>
    <row r="157" spans="1:6" x14ac:dyDescent="0.25">
      <c r="C157" s="390"/>
    </row>
    <row r="158" spans="1:6" ht="16.5" customHeight="1" x14ac:dyDescent="0.25">
      <c r="C158" s="390"/>
    </row>
    <row r="159" spans="1:6" x14ac:dyDescent="0.25">
      <c r="C159" s="390"/>
    </row>
    <row r="160" spans="1:6" x14ac:dyDescent="0.25">
      <c r="C160" s="390"/>
    </row>
    <row r="161" spans="3:3" x14ac:dyDescent="0.25">
      <c r="C161" s="390"/>
    </row>
    <row r="162" spans="3:3" x14ac:dyDescent="0.25">
      <c r="C162" s="390"/>
    </row>
    <row r="163" spans="3:3" x14ac:dyDescent="0.25">
      <c r="C163" s="390"/>
    </row>
    <row r="164" spans="3:3" x14ac:dyDescent="0.25">
      <c r="C164" s="390"/>
    </row>
    <row r="165" spans="3:3" x14ac:dyDescent="0.25">
      <c r="C165" s="390"/>
    </row>
    <row r="166" spans="3:3" x14ac:dyDescent="0.25">
      <c r="C166" s="390"/>
    </row>
    <row r="167" spans="3:3" x14ac:dyDescent="0.25">
      <c r="C167" s="390"/>
    </row>
  </sheetData>
  <mergeCells count="4">
    <mergeCell ref="A1:E1"/>
    <mergeCell ref="A89:E89"/>
    <mergeCell ref="A90:B90"/>
    <mergeCell ref="A2:B2"/>
  </mergeCells>
  <phoneticPr fontId="3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Width="3" fitToHeight="2" orientation="portrait" r:id="rId1"/>
  <headerFooter alignWithMargins="0">
    <oddHeader>&amp;C&amp;"Times New Roman CE,Félkövér"&amp;12&amp;UTájékoztató kimutatások, mérlegek
&amp;U
Ibrány Város Önkormányzata
2019. ÉVI KÖLTSÉGVETÉSÉNEK ÖSSZEVONT MÉRLEGE&amp;R&amp;"Times New Roman CE,Félkövér dőlt"&amp;11 1. számú tájékoztató tábla</oddHeader>
  </headerFooter>
  <rowBreaks count="1" manualBreakCount="1">
    <brk id="88" max="4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0"/>
  <sheetViews>
    <sheetView topLeftCell="A3" zoomScaleNormal="100" workbookViewId="0">
      <selection activeCell="F18" sqref="F18"/>
    </sheetView>
  </sheetViews>
  <sheetFormatPr defaultColWidth="9.33203125" defaultRowHeight="12.75" x14ac:dyDescent="0.2"/>
  <cols>
    <col min="1" max="1" width="6.83203125" style="197" customWidth="1"/>
    <col min="2" max="2" width="49.6640625" style="58" customWidth="1"/>
    <col min="3" max="9" width="12.83203125" style="58" customWidth="1"/>
    <col min="10" max="10" width="14.33203125" style="58" customWidth="1"/>
    <col min="11" max="11" width="3.33203125" style="58" customWidth="1"/>
    <col min="12" max="16384" width="9.33203125" style="58"/>
  </cols>
  <sheetData>
    <row r="1" spans="1:11" ht="20.25" customHeight="1" x14ac:dyDescent="0.2">
      <c r="A1" s="706" t="s">
        <v>669</v>
      </c>
      <c r="B1" s="706"/>
      <c r="C1" s="706"/>
      <c r="D1" s="706"/>
      <c r="E1" s="706"/>
      <c r="F1" s="706"/>
      <c r="G1" s="706"/>
      <c r="H1" s="706"/>
      <c r="I1" s="706"/>
      <c r="J1" s="706"/>
    </row>
    <row r="2" spans="1:11" ht="15.75" customHeight="1" thickBot="1" x14ac:dyDescent="0.3">
      <c r="J2" s="590" t="s">
        <v>58</v>
      </c>
    </row>
    <row r="3" spans="1:11" s="591" customFormat="1" ht="15" customHeight="1" x14ac:dyDescent="0.2">
      <c r="A3" s="707" t="s">
        <v>66</v>
      </c>
      <c r="B3" s="709" t="s">
        <v>670</v>
      </c>
      <c r="C3" s="711" t="s">
        <v>671</v>
      </c>
      <c r="D3" s="707" t="s">
        <v>672</v>
      </c>
      <c r="E3" s="707" t="str">
        <f>+CONCATENATE(LEFT(ÖSSZEFÜGGÉSEK!A5,4)," előtti kifizetés")</f>
        <v>2019 előtti kifizetés</v>
      </c>
      <c r="F3" s="713" t="s">
        <v>673</v>
      </c>
      <c r="G3" s="714"/>
      <c r="H3" s="714"/>
      <c r="I3" s="715"/>
      <c r="J3" s="709" t="s">
        <v>48</v>
      </c>
    </row>
    <row r="4" spans="1:11" s="594" customFormat="1" ht="23.25" customHeight="1" thickBot="1" x14ac:dyDescent="0.25">
      <c r="A4" s="708"/>
      <c r="B4" s="710"/>
      <c r="C4" s="712"/>
      <c r="D4" s="708"/>
      <c r="E4" s="708"/>
      <c r="F4" s="592" t="str">
        <f>+CONCATENATE(LEFT(ÖSSZEFÜGGÉSEK!A5,4),".")</f>
        <v>2019.</v>
      </c>
      <c r="G4" s="592" t="str">
        <f>+CONCATENATE(LEFT(ÖSSZEFÜGGÉSEK!A5,4)+1,".")</f>
        <v>2020.</v>
      </c>
      <c r="H4" s="592" t="str">
        <f>+CONCATENATE(LEFT(ÖSSZEFÜGGÉSEK!A5,4)+2,".")</f>
        <v>2021.</v>
      </c>
      <c r="I4" s="593" t="str">
        <f>+CONCATENATE(LEFT(ÖSSZEFÜGGÉSEK!A5,4)+2,".",CHAR(10)," után")</f>
        <v>2021.
 után</v>
      </c>
      <c r="J4" s="710"/>
    </row>
    <row r="5" spans="1:11" s="600" customFormat="1" ht="12.95" customHeight="1" thickBot="1" x14ac:dyDescent="0.25">
      <c r="A5" s="595" t="s">
        <v>484</v>
      </c>
      <c r="B5" s="596" t="s">
        <v>485</v>
      </c>
      <c r="C5" s="597" t="s">
        <v>486</v>
      </c>
      <c r="D5" s="596" t="s">
        <v>488</v>
      </c>
      <c r="E5" s="596" t="s">
        <v>487</v>
      </c>
      <c r="F5" s="595" t="s">
        <v>674</v>
      </c>
      <c r="G5" s="597" t="s">
        <v>675</v>
      </c>
      <c r="H5" s="597" t="s">
        <v>676</v>
      </c>
      <c r="I5" s="598" t="s">
        <v>677</v>
      </c>
      <c r="J5" s="599" t="s">
        <v>678</v>
      </c>
    </row>
    <row r="6" spans="1:11" ht="24.75" customHeight="1" thickBot="1" x14ac:dyDescent="0.25">
      <c r="A6" s="601" t="s">
        <v>15</v>
      </c>
      <c r="B6" s="602" t="s">
        <v>679</v>
      </c>
      <c r="C6" s="603"/>
      <c r="D6" s="604"/>
      <c r="E6" s="605">
        <f>+E7+E8</f>
        <v>0</v>
      </c>
      <c r="F6" s="606">
        <f>+F7+F8</f>
        <v>0</v>
      </c>
      <c r="G6" s="607">
        <f>+G7+G8</f>
        <v>0</v>
      </c>
      <c r="H6" s="607">
        <f>+H7+H8</f>
        <v>0</v>
      </c>
      <c r="I6" s="608">
        <f>+I7+I8</f>
        <v>0</v>
      </c>
      <c r="J6" s="605">
        <f t="shared" ref="J6:J29" si="0">SUM(E6:I6)</f>
        <v>0</v>
      </c>
    </row>
    <row r="7" spans="1:11" ht="15.75" customHeight="1" x14ac:dyDescent="0.2">
      <c r="A7" s="609" t="s">
        <v>16</v>
      </c>
      <c r="B7" s="610" t="s">
        <v>680</v>
      </c>
      <c r="C7" s="611"/>
      <c r="D7" s="612"/>
      <c r="E7" s="613"/>
      <c r="F7" s="614"/>
      <c r="G7" s="25"/>
      <c r="H7" s="25"/>
      <c r="I7" s="615"/>
      <c r="J7" s="616">
        <f t="shared" si="0"/>
        <v>0</v>
      </c>
      <c r="K7" s="702" t="s">
        <v>681</v>
      </c>
    </row>
    <row r="8" spans="1:11" ht="15.75" customHeight="1" thickBot="1" x14ac:dyDescent="0.25">
      <c r="A8" s="609" t="s">
        <v>17</v>
      </c>
      <c r="B8" s="610" t="s">
        <v>680</v>
      </c>
      <c r="C8" s="611"/>
      <c r="D8" s="612"/>
      <c r="E8" s="613"/>
      <c r="F8" s="614"/>
      <c r="G8" s="25"/>
      <c r="H8" s="25"/>
      <c r="I8" s="615"/>
      <c r="J8" s="616">
        <f t="shared" si="0"/>
        <v>0</v>
      </c>
      <c r="K8" s="702"/>
    </row>
    <row r="9" spans="1:11" ht="26.1" customHeight="1" thickBot="1" x14ac:dyDescent="0.25">
      <c r="A9" s="601" t="s">
        <v>18</v>
      </c>
      <c r="B9" s="602" t="s">
        <v>682</v>
      </c>
      <c r="C9" s="617"/>
      <c r="D9" s="618"/>
      <c r="E9" s="605">
        <f>SUM(E10:E22)</f>
        <v>21257</v>
      </c>
      <c r="F9" s="606">
        <f>SUM(F10:F22)</f>
        <v>8397</v>
      </c>
      <c r="G9" s="607">
        <f>SUM(G10:G22)</f>
        <v>7550</v>
      </c>
      <c r="H9" s="607">
        <f>SUM(H10:H22)</f>
        <v>7456</v>
      </c>
      <c r="I9" s="608">
        <f>SUM(I10:I22)</f>
        <v>39663</v>
      </c>
      <c r="J9" s="605">
        <f t="shared" si="0"/>
        <v>84323</v>
      </c>
      <c r="K9" s="702"/>
    </row>
    <row r="10" spans="1:11" ht="20.100000000000001" customHeight="1" x14ac:dyDescent="0.2">
      <c r="A10" s="619" t="s">
        <v>19</v>
      </c>
      <c r="B10" s="665" t="s">
        <v>683</v>
      </c>
      <c r="C10" s="667" t="s">
        <v>684</v>
      </c>
      <c r="D10" s="669" t="s">
        <v>685</v>
      </c>
      <c r="E10" s="621">
        <f>500+504+2016+2016</f>
        <v>5036</v>
      </c>
      <c r="F10" s="622">
        <v>2016</v>
      </c>
      <c r="G10" s="623">
        <v>2016</v>
      </c>
      <c r="H10" s="623">
        <v>2016</v>
      </c>
      <c r="I10" s="624">
        <f>19140-2016-2016</f>
        <v>15108</v>
      </c>
      <c r="J10" s="625">
        <f t="shared" si="0"/>
        <v>26192</v>
      </c>
      <c r="K10" s="703"/>
    </row>
    <row r="11" spans="1:11" ht="20.100000000000001" customHeight="1" x14ac:dyDescent="0.2">
      <c r="A11" s="626"/>
      <c r="B11" s="610" t="s">
        <v>686</v>
      </c>
      <c r="C11" s="668"/>
      <c r="D11" s="620"/>
      <c r="E11" s="621">
        <f>2190+1042+958</f>
        <v>4190</v>
      </c>
      <c r="F11" s="627">
        <v>874</v>
      </c>
      <c r="G11" s="628">
        <v>790</v>
      </c>
      <c r="H11" s="628"/>
      <c r="I11" s="629"/>
      <c r="J11" s="630">
        <f t="shared" si="0"/>
        <v>5854</v>
      </c>
      <c r="K11" s="703"/>
    </row>
    <row r="12" spans="1:11" ht="20.100000000000001" customHeight="1" x14ac:dyDescent="0.2">
      <c r="A12" s="631" t="s">
        <v>20</v>
      </c>
      <c r="B12" s="610" t="s">
        <v>687</v>
      </c>
      <c r="C12" s="638" t="s">
        <v>684</v>
      </c>
      <c r="D12" s="632" t="s">
        <v>685</v>
      </c>
      <c r="E12" s="621">
        <f>129+516+516</f>
        <v>1161</v>
      </c>
      <c r="F12" s="614">
        <v>516</v>
      </c>
      <c r="G12" s="25">
        <v>516</v>
      </c>
      <c r="H12" s="25">
        <v>516</v>
      </c>
      <c r="I12" s="615">
        <f>5019-516-516</f>
        <v>3987</v>
      </c>
      <c r="J12" s="616">
        <f t="shared" si="0"/>
        <v>6696</v>
      </c>
      <c r="K12" s="703"/>
    </row>
    <row r="13" spans="1:11" ht="20.100000000000001" customHeight="1" x14ac:dyDescent="0.2">
      <c r="A13" s="631"/>
      <c r="B13" s="610" t="s">
        <v>688</v>
      </c>
      <c r="C13" s="638"/>
      <c r="D13" s="632"/>
      <c r="E13" s="621">
        <f>560+266+245</f>
        <v>1071</v>
      </c>
      <c r="F13" s="614">
        <v>223</v>
      </c>
      <c r="G13" s="25">
        <v>202</v>
      </c>
      <c r="H13" s="25"/>
      <c r="I13" s="615"/>
      <c r="J13" s="616">
        <f t="shared" si="0"/>
        <v>1496</v>
      </c>
      <c r="K13" s="703"/>
    </row>
    <row r="14" spans="1:11" ht="20.100000000000001" customHeight="1" x14ac:dyDescent="0.2">
      <c r="A14" s="631" t="s">
        <v>21</v>
      </c>
      <c r="B14" s="610" t="s">
        <v>689</v>
      </c>
      <c r="C14" s="638" t="s">
        <v>690</v>
      </c>
      <c r="D14" s="632" t="s">
        <v>691</v>
      </c>
      <c r="E14" s="621">
        <f>500+1000+1000+1000</f>
        <v>3500</v>
      </c>
      <c r="F14" s="614">
        <v>1000</v>
      </c>
      <c r="G14" s="25">
        <v>1000</v>
      </c>
      <c r="H14" s="25">
        <v>1000</v>
      </c>
      <c r="I14" s="615">
        <f>5498-1000-1000</f>
        <v>3498</v>
      </c>
      <c r="J14" s="616">
        <f t="shared" si="0"/>
        <v>9998</v>
      </c>
      <c r="K14" s="703"/>
    </row>
    <row r="15" spans="1:11" ht="20.100000000000001" customHeight="1" x14ac:dyDescent="0.2">
      <c r="A15" s="631"/>
      <c r="B15" s="610" t="s">
        <v>692</v>
      </c>
      <c r="C15" s="638"/>
      <c r="D15" s="632"/>
      <c r="E15" s="621">
        <f>711+303+266</f>
        <v>1280</v>
      </c>
      <c r="F15" s="614">
        <v>228</v>
      </c>
      <c r="G15" s="25">
        <v>191</v>
      </c>
      <c r="H15" s="25"/>
      <c r="I15" s="615"/>
      <c r="J15" s="616">
        <f t="shared" si="0"/>
        <v>1699</v>
      </c>
      <c r="K15" s="703"/>
    </row>
    <row r="16" spans="1:11" ht="20.100000000000001" customHeight="1" x14ac:dyDescent="0.2">
      <c r="A16" s="631" t="s">
        <v>22</v>
      </c>
      <c r="B16" s="610" t="s">
        <v>693</v>
      </c>
      <c r="C16" s="638" t="s">
        <v>690</v>
      </c>
      <c r="D16" s="632" t="s">
        <v>694</v>
      </c>
      <c r="E16" s="621">
        <f>432+880+953+1033</f>
        <v>3298</v>
      </c>
      <c r="F16" s="614">
        <v>1119</v>
      </c>
      <c r="G16" s="25">
        <v>493</v>
      </c>
      <c r="H16" s="25"/>
      <c r="I16" s="615"/>
      <c r="J16" s="616">
        <f t="shared" si="0"/>
        <v>4910</v>
      </c>
      <c r="K16" s="703"/>
    </row>
    <row r="17" spans="1:11" ht="20.100000000000001" customHeight="1" x14ac:dyDescent="0.2">
      <c r="A17" s="631"/>
      <c r="B17" s="610" t="s">
        <v>695</v>
      </c>
      <c r="C17" s="638"/>
      <c r="D17" s="632"/>
      <c r="E17" s="621">
        <f>255+328+223+175</f>
        <v>981</v>
      </c>
      <c r="F17" s="614">
        <v>89</v>
      </c>
      <c r="G17" s="25">
        <v>10</v>
      </c>
      <c r="H17" s="25"/>
      <c r="I17" s="615"/>
      <c r="J17" s="616">
        <f t="shared" si="0"/>
        <v>1080</v>
      </c>
      <c r="K17" s="703"/>
    </row>
    <row r="18" spans="1:11" ht="20.100000000000001" customHeight="1" x14ac:dyDescent="0.2">
      <c r="A18" s="631" t="s">
        <v>23</v>
      </c>
      <c r="B18" s="666" t="s">
        <v>696</v>
      </c>
      <c r="C18" s="638" t="s">
        <v>697</v>
      </c>
      <c r="D18" s="632" t="s">
        <v>698</v>
      </c>
      <c r="E18" s="621">
        <v>740</v>
      </c>
      <c r="F18" s="614">
        <v>740</v>
      </c>
      <c r="G18" s="25">
        <v>740</v>
      </c>
      <c r="H18" s="25">
        <v>740</v>
      </c>
      <c r="I18" s="615">
        <f>7778-740</f>
        <v>7038</v>
      </c>
      <c r="J18" s="616">
        <f t="shared" si="0"/>
        <v>9998</v>
      </c>
      <c r="K18" s="703"/>
    </row>
    <row r="19" spans="1:11" ht="20.100000000000001" customHeight="1" x14ac:dyDescent="0.2">
      <c r="A19" s="631"/>
      <c r="B19" s="666" t="s">
        <v>712</v>
      </c>
      <c r="C19" s="638"/>
      <c r="D19" s="632"/>
      <c r="E19" s="621"/>
      <c r="F19" s="614"/>
      <c r="G19" s="25"/>
      <c r="H19" s="25"/>
      <c r="I19" s="615"/>
      <c r="J19" s="616"/>
      <c r="K19" s="703"/>
    </row>
    <row r="20" spans="1:11" ht="24" customHeight="1" x14ac:dyDescent="0.2">
      <c r="A20" s="631" t="s">
        <v>24</v>
      </c>
      <c r="B20" s="666" t="s">
        <v>699</v>
      </c>
      <c r="C20" s="638" t="s">
        <v>700</v>
      </c>
      <c r="D20" s="632" t="s">
        <v>698</v>
      </c>
      <c r="E20" s="621"/>
      <c r="F20" s="614">
        <v>800</v>
      </c>
      <c r="G20" s="25">
        <v>800</v>
      </c>
      <c r="H20" s="25">
        <v>1600</v>
      </c>
      <c r="I20" s="615">
        <f>4100-800</f>
        <v>3300</v>
      </c>
      <c r="J20" s="616">
        <f t="shared" si="0"/>
        <v>6500</v>
      </c>
      <c r="K20" s="703"/>
    </row>
    <row r="21" spans="1:11" ht="24" customHeight="1" x14ac:dyDescent="0.2">
      <c r="A21" s="631"/>
      <c r="B21" s="666" t="s">
        <v>713</v>
      </c>
      <c r="C21" s="638"/>
      <c r="D21" s="632"/>
      <c r="E21" s="621"/>
      <c r="F21" s="614"/>
      <c r="G21" s="25"/>
      <c r="H21" s="25"/>
      <c r="I21" s="615"/>
      <c r="J21" s="616"/>
      <c r="K21" s="703"/>
    </row>
    <row r="22" spans="1:11" ht="27" customHeight="1" x14ac:dyDescent="0.2">
      <c r="A22" s="631">
        <v>11</v>
      </c>
      <c r="B22" s="666" t="s">
        <v>701</v>
      </c>
      <c r="C22" s="638" t="s">
        <v>700</v>
      </c>
      <c r="D22" s="632" t="s">
        <v>698</v>
      </c>
      <c r="E22" s="621"/>
      <c r="F22" s="614">
        <v>792</v>
      </c>
      <c r="G22" s="25">
        <v>792</v>
      </c>
      <c r="H22" s="25">
        <v>1584</v>
      </c>
      <c r="I22" s="615">
        <f>7524-792</f>
        <v>6732</v>
      </c>
      <c r="J22" s="616">
        <f t="shared" si="0"/>
        <v>9900</v>
      </c>
      <c r="K22" s="703"/>
    </row>
    <row r="23" spans="1:11" ht="27" customHeight="1" x14ac:dyDescent="0.2">
      <c r="A23" s="631"/>
      <c r="B23" s="666" t="s">
        <v>714</v>
      </c>
      <c r="C23" s="638"/>
      <c r="D23" s="632"/>
      <c r="E23" s="621"/>
      <c r="F23" s="614"/>
      <c r="G23" s="25"/>
      <c r="H23" s="25"/>
      <c r="I23" s="615"/>
      <c r="J23" s="616"/>
      <c r="K23" s="703"/>
    </row>
    <row r="24" spans="1:11" ht="20.100000000000001" customHeight="1" thickBot="1" x14ac:dyDescent="0.25">
      <c r="A24" s="633" t="s">
        <v>26</v>
      </c>
      <c r="B24" s="660" t="s">
        <v>702</v>
      </c>
      <c r="C24" s="659"/>
      <c r="D24" s="634"/>
      <c r="E24" s="670">
        <f>+E25</f>
        <v>0</v>
      </c>
      <c r="F24" s="662">
        <f>+F25</f>
        <v>0</v>
      </c>
      <c r="G24" s="663">
        <f>+G25</f>
        <v>0</v>
      </c>
      <c r="H24" s="663">
        <f>+H25</f>
        <v>0</v>
      </c>
      <c r="I24" s="664">
        <f>+I25</f>
        <v>0</v>
      </c>
      <c r="J24" s="661">
        <f t="shared" si="0"/>
        <v>0</v>
      </c>
      <c r="K24" s="703"/>
    </row>
    <row r="25" spans="1:11" ht="15.75" customHeight="1" thickBot="1" x14ac:dyDescent="0.25">
      <c r="A25" s="609" t="s">
        <v>27</v>
      </c>
      <c r="B25" s="610" t="s">
        <v>680</v>
      </c>
      <c r="C25" s="637"/>
      <c r="D25" s="638"/>
      <c r="E25" s="613"/>
      <c r="F25" s="614"/>
      <c r="G25" s="25"/>
      <c r="H25" s="25"/>
      <c r="I25" s="615"/>
      <c r="J25" s="616">
        <f t="shared" si="0"/>
        <v>0</v>
      </c>
      <c r="K25" s="702"/>
    </row>
    <row r="26" spans="1:11" ht="20.100000000000001" customHeight="1" thickBot="1" x14ac:dyDescent="0.25">
      <c r="A26" s="601" t="s">
        <v>28</v>
      </c>
      <c r="B26" s="602" t="s">
        <v>703</v>
      </c>
      <c r="C26" s="635"/>
      <c r="D26" s="636"/>
      <c r="E26" s="605">
        <f>+E27</f>
        <v>0</v>
      </c>
      <c r="F26" s="606">
        <f>+F27</f>
        <v>0</v>
      </c>
      <c r="G26" s="607">
        <f>+G27</f>
        <v>0</v>
      </c>
      <c r="H26" s="607">
        <f>+H27</f>
        <v>0</v>
      </c>
      <c r="I26" s="608">
        <f>+I27</f>
        <v>0</v>
      </c>
      <c r="J26" s="605">
        <f t="shared" si="0"/>
        <v>0</v>
      </c>
      <c r="K26" s="702"/>
    </row>
    <row r="27" spans="1:11" ht="15.75" customHeight="1" thickBot="1" x14ac:dyDescent="0.25">
      <c r="A27" s="639" t="s">
        <v>29</v>
      </c>
      <c r="B27" s="640" t="s">
        <v>680</v>
      </c>
      <c r="C27" s="641"/>
      <c r="D27" s="642"/>
      <c r="E27" s="643"/>
      <c r="F27" s="644"/>
      <c r="G27" s="26"/>
      <c r="H27" s="26"/>
      <c r="I27" s="645"/>
      <c r="J27" s="646">
        <f t="shared" si="0"/>
        <v>0</v>
      </c>
      <c r="K27" s="702"/>
    </row>
    <row r="28" spans="1:11" ht="20.100000000000001" customHeight="1" thickBot="1" x14ac:dyDescent="0.25">
      <c r="A28" s="601" t="s">
        <v>30</v>
      </c>
      <c r="B28" s="647" t="s">
        <v>704</v>
      </c>
      <c r="C28" s="635"/>
      <c r="D28" s="636"/>
      <c r="E28" s="605">
        <f>+E29</f>
        <v>0</v>
      </c>
      <c r="F28" s="606">
        <f>+F29</f>
        <v>0</v>
      </c>
      <c r="G28" s="607">
        <f>+G29</f>
        <v>0</v>
      </c>
      <c r="H28" s="607">
        <f>+H29</f>
        <v>0</v>
      </c>
      <c r="I28" s="608">
        <f>+I29</f>
        <v>0</v>
      </c>
      <c r="J28" s="605">
        <f t="shared" si="0"/>
        <v>0</v>
      </c>
      <c r="K28" s="702"/>
    </row>
    <row r="29" spans="1:11" ht="15.75" customHeight="1" thickBot="1" x14ac:dyDescent="0.25">
      <c r="A29" s="648" t="s">
        <v>31</v>
      </c>
      <c r="B29" s="649" t="s">
        <v>680</v>
      </c>
      <c r="C29" s="650"/>
      <c r="D29" s="651"/>
      <c r="E29" s="652"/>
      <c r="F29" s="653"/>
      <c r="G29" s="654"/>
      <c r="H29" s="654"/>
      <c r="I29" s="655"/>
      <c r="J29" s="656">
        <f t="shared" si="0"/>
        <v>0</v>
      </c>
      <c r="K29" s="702"/>
    </row>
    <row r="30" spans="1:11" ht="20.100000000000001" customHeight="1" thickBot="1" x14ac:dyDescent="0.25">
      <c r="A30" s="704" t="s">
        <v>705</v>
      </c>
      <c r="B30" s="705"/>
      <c r="C30" s="657"/>
      <c r="D30" s="658"/>
      <c r="E30" s="605">
        <f t="shared" ref="E30:J30" si="1">+E6+E9+E24+E26+E28</f>
        <v>21257</v>
      </c>
      <c r="F30" s="606">
        <f t="shared" si="1"/>
        <v>8397</v>
      </c>
      <c r="G30" s="607">
        <f t="shared" si="1"/>
        <v>7550</v>
      </c>
      <c r="H30" s="607">
        <f t="shared" si="1"/>
        <v>7456</v>
      </c>
      <c r="I30" s="608">
        <f t="shared" si="1"/>
        <v>39663</v>
      </c>
      <c r="J30" s="605">
        <f t="shared" si="1"/>
        <v>84323</v>
      </c>
      <c r="K30" s="702"/>
    </row>
  </sheetData>
  <mergeCells count="10">
    <mergeCell ref="K7:K30"/>
    <mergeCell ref="A30:B30"/>
    <mergeCell ref="A1:J1"/>
    <mergeCell ref="A3:A4"/>
    <mergeCell ref="B3:B4"/>
    <mergeCell ref="C3:C4"/>
    <mergeCell ref="D3:D4"/>
    <mergeCell ref="E3:E4"/>
    <mergeCell ref="F3:I3"/>
    <mergeCell ref="J3:J4"/>
  </mergeCells>
  <printOptions horizontalCentered="1"/>
  <pageMargins left="0.78740157480314965" right="0.78740157480314965" top="1.03" bottom="0.98425196850393704" header="0.78740157480314965" footer="0.78740157480314965"/>
  <pageSetup paperSize="9" scale="75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4"/>
  <sheetViews>
    <sheetView view="pageLayout" topLeftCell="A13" zoomScaleNormal="100" workbookViewId="0">
      <selection activeCell="D6" sqref="D6"/>
    </sheetView>
  </sheetViews>
  <sheetFormatPr defaultColWidth="9.33203125" defaultRowHeight="12.75" x14ac:dyDescent="0.2"/>
  <cols>
    <col min="1" max="1" width="5.83203125" style="86" customWidth="1"/>
    <col min="2" max="2" width="54.83203125" style="3" customWidth="1"/>
    <col min="3" max="4" width="17.6640625" style="3" customWidth="1"/>
    <col min="5" max="16384" width="9.33203125" style="3"/>
  </cols>
  <sheetData>
    <row r="1" spans="1:4" ht="31.5" customHeight="1" x14ac:dyDescent="0.25">
      <c r="B1" s="717" t="s">
        <v>655</v>
      </c>
      <c r="C1" s="717"/>
      <c r="D1" s="717"/>
    </row>
    <row r="2" spans="1:4" s="74" customFormat="1" ht="16.5" thickBot="1" x14ac:dyDescent="0.3">
      <c r="A2" s="73"/>
      <c r="B2" s="379"/>
      <c r="D2" s="46" t="s">
        <v>562</v>
      </c>
    </row>
    <row r="3" spans="1:4" s="76" customFormat="1" ht="48" customHeight="1" thickBot="1" x14ac:dyDescent="0.25">
      <c r="A3" s="75" t="s">
        <v>13</v>
      </c>
      <c r="B3" s="203" t="s">
        <v>14</v>
      </c>
      <c r="C3" s="203" t="s">
        <v>67</v>
      </c>
      <c r="D3" s="204" t="s">
        <v>68</v>
      </c>
    </row>
    <row r="4" spans="1:4" s="76" customFormat="1" ht="14.1" customHeight="1" thickBot="1" x14ac:dyDescent="0.25">
      <c r="A4" s="37" t="s">
        <v>484</v>
      </c>
      <c r="B4" s="206" t="s">
        <v>485</v>
      </c>
      <c r="C4" s="206" t="s">
        <v>486</v>
      </c>
      <c r="D4" s="207" t="s">
        <v>488</v>
      </c>
    </row>
    <row r="5" spans="1:4" ht="21" customHeight="1" x14ac:dyDescent="0.2">
      <c r="A5" s="141" t="s">
        <v>15</v>
      </c>
      <c r="B5" s="563" t="s">
        <v>711</v>
      </c>
      <c r="C5" s="564">
        <v>276179</v>
      </c>
      <c r="D5" s="565">
        <v>276179</v>
      </c>
    </row>
    <row r="6" spans="1:4" ht="18" customHeight="1" x14ac:dyDescent="0.2">
      <c r="A6" s="78" t="s">
        <v>16</v>
      </c>
      <c r="B6" s="208" t="s">
        <v>157</v>
      </c>
      <c r="C6" s="140"/>
      <c r="D6" s="80"/>
    </row>
    <row r="7" spans="1:4" ht="18" customHeight="1" x14ac:dyDescent="0.2">
      <c r="A7" s="78" t="s">
        <v>17</v>
      </c>
      <c r="B7" s="208" t="s">
        <v>114</v>
      </c>
      <c r="C7" s="140"/>
      <c r="D7" s="80"/>
    </row>
    <row r="8" spans="1:4" ht="18" customHeight="1" x14ac:dyDescent="0.2">
      <c r="A8" s="78" t="s">
        <v>18</v>
      </c>
      <c r="B8" s="208" t="s">
        <v>115</v>
      </c>
      <c r="C8" s="140"/>
      <c r="D8" s="80"/>
    </row>
    <row r="9" spans="1:4" ht="18" customHeight="1" x14ac:dyDescent="0.2">
      <c r="A9" s="78" t="s">
        <v>19</v>
      </c>
      <c r="B9" s="208" t="s">
        <v>153</v>
      </c>
      <c r="C9" s="140">
        <f>C11+C10+C18</f>
        <v>10410000</v>
      </c>
      <c r="D9" s="566">
        <f>D11+D10+D18</f>
        <v>5710000</v>
      </c>
    </row>
    <row r="10" spans="1:4" ht="18" customHeight="1" x14ac:dyDescent="0.2">
      <c r="A10" s="78" t="s">
        <v>20</v>
      </c>
      <c r="B10" s="208" t="s">
        <v>154</v>
      </c>
      <c r="C10" s="140"/>
      <c r="D10" s="80"/>
    </row>
    <row r="11" spans="1:4" ht="18" customHeight="1" x14ac:dyDescent="0.2">
      <c r="A11" s="78" t="s">
        <v>21</v>
      </c>
      <c r="B11" s="209" t="s">
        <v>155</v>
      </c>
      <c r="C11" s="140">
        <f>SUM(C12:C17)</f>
        <v>9410000</v>
      </c>
      <c r="D11" s="566">
        <f>SUM(D12:D17)</f>
        <v>4710000</v>
      </c>
    </row>
    <row r="12" spans="1:4" ht="27.75" customHeight="1" x14ac:dyDescent="0.2">
      <c r="A12" s="78" t="s">
        <v>22</v>
      </c>
      <c r="B12" s="209" t="s">
        <v>706</v>
      </c>
      <c r="C12" s="140">
        <v>3990000</v>
      </c>
      <c r="D12" s="80">
        <v>1995000</v>
      </c>
    </row>
    <row r="13" spans="1:4" ht="27" customHeight="1" x14ac:dyDescent="0.2">
      <c r="A13" s="78" t="s">
        <v>23</v>
      </c>
      <c r="B13" s="209" t="s">
        <v>707</v>
      </c>
      <c r="C13" s="140">
        <v>2440000</v>
      </c>
      <c r="D13" s="80">
        <v>1220000</v>
      </c>
    </row>
    <row r="14" spans="1:4" ht="28.5" customHeight="1" x14ac:dyDescent="0.2">
      <c r="A14" s="78" t="s">
        <v>24</v>
      </c>
      <c r="B14" s="209" t="s">
        <v>708</v>
      </c>
      <c r="C14" s="140">
        <v>1760000</v>
      </c>
      <c r="D14" s="80">
        <v>880000</v>
      </c>
    </row>
    <row r="15" spans="1:4" ht="28.5" customHeight="1" x14ac:dyDescent="0.2">
      <c r="A15" s="78" t="s">
        <v>25</v>
      </c>
      <c r="B15" s="209" t="s">
        <v>614</v>
      </c>
      <c r="C15" s="140">
        <v>10000</v>
      </c>
      <c r="D15" s="80">
        <v>10000</v>
      </c>
    </row>
    <row r="16" spans="1:4" ht="28.5" customHeight="1" x14ac:dyDescent="0.2">
      <c r="A16" s="78" t="s">
        <v>26</v>
      </c>
      <c r="B16" s="209" t="s">
        <v>709</v>
      </c>
      <c r="C16" s="140">
        <v>460000</v>
      </c>
      <c r="D16" s="80">
        <v>230000</v>
      </c>
    </row>
    <row r="17" spans="1:4" ht="28.5" customHeight="1" x14ac:dyDescent="0.2">
      <c r="A17" s="78" t="s">
        <v>27</v>
      </c>
      <c r="B17" s="209" t="s">
        <v>710</v>
      </c>
      <c r="C17" s="140">
        <v>750000</v>
      </c>
      <c r="D17" s="80">
        <v>375000</v>
      </c>
    </row>
    <row r="18" spans="1:4" ht="22.5" customHeight="1" x14ac:dyDescent="0.2">
      <c r="A18" s="78" t="s">
        <v>28</v>
      </c>
      <c r="B18" s="209" t="s">
        <v>156</v>
      </c>
      <c r="C18" s="140">
        <v>1000000</v>
      </c>
      <c r="D18" s="80">
        <v>1000000</v>
      </c>
    </row>
    <row r="19" spans="1:4" ht="18" customHeight="1" x14ac:dyDescent="0.2">
      <c r="A19" s="78" t="s">
        <v>29</v>
      </c>
      <c r="B19" s="208" t="s">
        <v>116</v>
      </c>
      <c r="C19" s="140"/>
      <c r="D19" s="80"/>
    </row>
    <row r="20" spans="1:4" ht="18" customHeight="1" x14ac:dyDescent="0.2">
      <c r="A20" s="78" t="s">
        <v>30</v>
      </c>
      <c r="B20" s="208" t="s">
        <v>5</v>
      </c>
      <c r="C20" s="140"/>
      <c r="D20" s="80"/>
    </row>
    <row r="21" spans="1:4" ht="18" customHeight="1" x14ac:dyDescent="0.2">
      <c r="A21" s="78" t="s">
        <v>31</v>
      </c>
      <c r="B21" s="208" t="s">
        <v>4</v>
      </c>
      <c r="C21" s="140"/>
      <c r="D21" s="80"/>
    </row>
    <row r="22" spans="1:4" ht="18" customHeight="1" x14ac:dyDescent="0.2">
      <c r="A22" s="78" t="s">
        <v>32</v>
      </c>
      <c r="B22" s="208" t="s">
        <v>117</v>
      </c>
      <c r="C22" s="140"/>
      <c r="D22" s="80"/>
    </row>
    <row r="23" spans="1:4" ht="18" customHeight="1" x14ac:dyDescent="0.2">
      <c r="A23" s="78" t="s">
        <v>33</v>
      </c>
      <c r="B23" s="208" t="s">
        <v>118</v>
      </c>
      <c r="C23" s="140"/>
      <c r="D23" s="80"/>
    </row>
    <row r="24" spans="1:4" ht="18" customHeight="1" x14ac:dyDescent="0.2">
      <c r="A24" s="78" t="s">
        <v>34</v>
      </c>
      <c r="B24" s="131"/>
      <c r="C24" s="79"/>
      <c r="D24" s="80"/>
    </row>
    <row r="25" spans="1:4" ht="18" customHeight="1" x14ac:dyDescent="0.2">
      <c r="A25" s="78" t="s">
        <v>35</v>
      </c>
      <c r="B25" s="81"/>
      <c r="C25" s="79"/>
      <c r="D25" s="80"/>
    </row>
    <row r="26" spans="1:4" ht="18" customHeight="1" x14ac:dyDescent="0.2">
      <c r="A26" s="78" t="s">
        <v>36</v>
      </c>
      <c r="B26" s="81"/>
      <c r="C26" s="79"/>
      <c r="D26" s="80"/>
    </row>
    <row r="27" spans="1:4" ht="18" customHeight="1" x14ac:dyDescent="0.2">
      <c r="A27" s="78" t="s">
        <v>37</v>
      </c>
      <c r="B27" s="81"/>
      <c r="C27" s="79"/>
      <c r="D27" s="80"/>
    </row>
    <row r="28" spans="1:4" ht="18" customHeight="1" x14ac:dyDescent="0.2">
      <c r="A28" s="78" t="s">
        <v>38</v>
      </c>
      <c r="B28" s="81"/>
      <c r="C28" s="79"/>
      <c r="D28" s="80"/>
    </row>
    <row r="29" spans="1:4" ht="18" customHeight="1" x14ac:dyDescent="0.2">
      <c r="A29" s="78" t="s">
        <v>39</v>
      </c>
      <c r="B29" s="81"/>
      <c r="C29" s="79"/>
      <c r="D29" s="80"/>
    </row>
    <row r="30" spans="1:4" ht="18" customHeight="1" x14ac:dyDescent="0.2">
      <c r="A30" s="78" t="s">
        <v>40</v>
      </c>
      <c r="B30" s="81"/>
      <c r="C30" s="79"/>
      <c r="D30" s="80"/>
    </row>
    <row r="31" spans="1:4" ht="18" customHeight="1" x14ac:dyDescent="0.2">
      <c r="A31" s="78" t="s">
        <v>41</v>
      </c>
      <c r="B31" s="81"/>
      <c r="C31" s="79"/>
      <c r="D31" s="80"/>
    </row>
    <row r="32" spans="1:4" ht="18" customHeight="1" thickBot="1" x14ac:dyDescent="0.25">
      <c r="A32" s="567" t="s">
        <v>42</v>
      </c>
      <c r="B32" s="82"/>
      <c r="C32" s="83"/>
      <c r="D32" s="84"/>
    </row>
    <row r="33" spans="1:4" ht="18" customHeight="1" thickBot="1" x14ac:dyDescent="0.25">
      <c r="A33" s="38" t="s">
        <v>43</v>
      </c>
      <c r="B33" s="213" t="s">
        <v>50</v>
      </c>
      <c r="C33" s="214">
        <f>+C5+C6+C7+C8+C9+C19+C20+C21+C22+C23+C24+C25+C26+C27+C28+C29+C30+C31+C32</f>
        <v>10686179</v>
      </c>
      <c r="D33" s="215">
        <f>+D5+D6+D7+D8+D9+D19+D20+D21+D22+D23+D24+D25+D26+D27+D28+D29+D30+D31+D32</f>
        <v>5986179</v>
      </c>
    </row>
    <row r="34" spans="1:4" ht="8.25" customHeight="1" x14ac:dyDescent="0.2">
      <c r="A34" s="85"/>
      <c r="B34" s="716"/>
      <c r="C34" s="716"/>
      <c r="D34" s="716"/>
    </row>
  </sheetData>
  <mergeCells count="2">
    <mergeCell ref="B34:D34"/>
    <mergeCell ref="B1:D1"/>
  </mergeCells>
  <phoneticPr fontId="30" type="noConversion"/>
  <printOptions horizontalCentered="1"/>
  <pageMargins left="0.78740157480314965" right="0.78740157480314965" top="1.06" bottom="0.98425196850393704" header="0.78740157480314965" footer="0.78740157480314965"/>
  <pageSetup paperSize="9" scale="95" orientation="portrait" horizontalDpi="300" verticalDpi="300" r:id="rId1"/>
  <headerFooter alignWithMargins="0">
    <oddHeader>&amp;R&amp;"Times New Roman CE,Dőlt"&amp;11 &amp;"Times New Roman CE,Félkövér dőlt"3. tájékoztató tábla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rgb="FF92D050"/>
  </sheetPr>
  <dimension ref="A1:O81"/>
  <sheetViews>
    <sheetView view="pageLayout" topLeftCell="B1" zoomScaleNormal="100" workbookViewId="0">
      <selection activeCell="O5" sqref="O5"/>
    </sheetView>
  </sheetViews>
  <sheetFormatPr defaultColWidth="9.33203125" defaultRowHeight="15.75" x14ac:dyDescent="0.25"/>
  <cols>
    <col min="1" max="1" width="4.83203125" style="104" customWidth="1"/>
    <col min="2" max="2" width="31.1640625" style="120" customWidth="1"/>
    <col min="3" max="3" width="11.1640625" style="120" customWidth="1"/>
    <col min="4" max="4" width="10.5" style="120" customWidth="1"/>
    <col min="5" max="5" width="10.83203125" style="120" customWidth="1"/>
    <col min="6" max="6" width="11.33203125" style="120" customWidth="1"/>
    <col min="7" max="7" width="11" style="120" customWidth="1"/>
    <col min="8" max="9" width="10.83203125" style="120" customWidth="1"/>
    <col min="10" max="10" width="11.33203125" style="120" customWidth="1"/>
    <col min="11" max="11" width="11.1640625" style="120" customWidth="1"/>
    <col min="12" max="12" width="11.5" style="120" customWidth="1"/>
    <col min="13" max="14" width="12" style="120" customWidth="1"/>
    <col min="15" max="15" width="12.6640625" style="104" customWidth="1"/>
    <col min="16" max="16384" width="9.33203125" style="120"/>
  </cols>
  <sheetData>
    <row r="1" spans="1:15" ht="31.5" customHeight="1" x14ac:dyDescent="0.25">
      <c r="A1" s="724" t="str">
        <f>+CONCATENATE("Előirányzat-felhasználási terv",CHAR(10),LEFT(ÖSSZEFÜGGÉSEK!A5,4),". évre")</f>
        <v>Előirányzat-felhasználási terv
2019. évre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</row>
    <row r="2" spans="1:15" ht="16.5" thickBot="1" x14ac:dyDescent="0.3">
      <c r="O2" s="4" t="s">
        <v>52</v>
      </c>
    </row>
    <row r="3" spans="1:15" s="104" customFormat="1" ht="26.1" customHeight="1" thickBot="1" x14ac:dyDescent="0.3">
      <c r="A3" s="101" t="s">
        <v>13</v>
      </c>
      <c r="B3" s="102" t="s">
        <v>59</v>
      </c>
      <c r="C3" s="102" t="s">
        <v>69</v>
      </c>
      <c r="D3" s="102" t="s">
        <v>70</v>
      </c>
      <c r="E3" s="102" t="s">
        <v>71</v>
      </c>
      <c r="F3" s="102" t="s">
        <v>72</v>
      </c>
      <c r="G3" s="102" t="s">
        <v>73</v>
      </c>
      <c r="H3" s="102" t="s">
        <v>74</v>
      </c>
      <c r="I3" s="102" t="s">
        <v>75</v>
      </c>
      <c r="J3" s="102" t="s">
        <v>76</v>
      </c>
      <c r="K3" s="102" t="s">
        <v>77</v>
      </c>
      <c r="L3" s="102" t="s">
        <v>78</v>
      </c>
      <c r="M3" s="102" t="s">
        <v>79</v>
      </c>
      <c r="N3" s="102" t="s">
        <v>80</v>
      </c>
      <c r="O3" s="103" t="s">
        <v>50</v>
      </c>
    </row>
    <row r="4" spans="1:15" s="106" customFormat="1" ht="15" customHeight="1" thickBot="1" x14ac:dyDescent="0.25">
      <c r="A4" s="548" t="s">
        <v>15</v>
      </c>
      <c r="B4" s="718" t="s">
        <v>53</v>
      </c>
      <c r="C4" s="719"/>
      <c r="D4" s="719"/>
      <c r="E4" s="719"/>
      <c r="F4" s="719"/>
      <c r="G4" s="719"/>
      <c r="H4" s="719"/>
      <c r="I4" s="719"/>
      <c r="J4" s="719"/>
      <c r="K4" s="719"/>
      <c r="L4" s="719"/>
      <c r="M4" s="719"/>
      <c r="N4" s="719"/>
      <c r="O4" s="720"/>
    </row>
    <row r="5" spans="1:15" s="106" customFormat="1" ht="22.5" x14ac:dyDescent="0.2">
      <c r="A5" s="548" t="s">
        <v>16</v>
      </c>
      <c r="B5" s="549" t="s">
        <v>365</v>
      </c>
      <c r="C5" s="552">
        <f>O5/12</f>
        <v>41217122.833333336</v>
      </c>
      <c r="D5" s="550">
        <f t="shared" ref="D5:N5" si="0">$O$5/12</f>
        <v>41217122.833333336</v>
      </c>
      <c r="E5" s="550">
        <f t="shared" si="0"/>
        <v>41217122.833333336</v>
      </c>
      <c r="F5" s="550">
        <f t="shared" si="0"/>
        <v>41217122.833333336</v>
      </c>
      <c r="G5" s="550">
        <f t="shared" si="0"/>
        <v>41217122.833333336</v>
      </c>
      <c r="H5" s="550">
        <f t="shared" si="0"/>
        <v>41217122.833333336</v>
      </c>
      <c r="I5" s="550">
        <f t="shared" si="0"/>
        <v>41217122.833333336</v>
      </c>
      <c r="J5" s="550">
        <f t="shared" si="0"/>
        <v>41217122.833333336</v>
      </c>
      <c r="K5" s="550">
        <f t="shared" si="0"/>
        <v>41217122.833333336</v>
      </c>
      <c r="L5" s="550">
        <f t="shared" si="0"/>
        <v>41217122.833333336</v>
      </c>
      <c r="M5" s="550">
        <f t="shared" si="0"/>
        <v>41217122.833333336</v>
      </c>
      <c r="N5" s="550">
        <f t="shared" si="0"/>
        <v>41217122.833333336</v>
      </c>
      <c r="O5" s="551">
        <f>'9.1. sz. mell ÖNK'!C8</f>
        <v>494605474</v>
      </c>
    </row>
    <row r="6" spans="1:15" s="111" customFormat="1" ht="22.5" x14ac:dyDescent="0.2">
      <c r="A6" s="108" t="s">
        <v>17</v>
      </c>
      <c r="B6" s="286" t="s">
        <v>411</v>
      </c>
      <c r="C6" s="109">
        <f t="shared" ref="C6:C13" si="1">O6/12</f>
        <v>11982706.25</v>
      </c>
      <c r="D6" s="109">
        <f>$O$6/12</f>
        <v>11982706.25</v>
      </c>
      <c r="E6" s="109">
        <f t="shared" ref="E6:N6" si="2">$O$6/12</f>
        <v>11982706.25</v>
      </c>
      <c r="F6" s="109">
        <f t="shared" si="2"/>
        <v>11982706.25</v>
      </c>
      <c r="G6" s="109">
        <f t="shared" si="2"/>
        <v>11982706.25</v>
      </c>
      <c r="H6" s="109">
        <f t="shared" si="2"/>
        <v>11982706.25</v>
      </c>
      <c r="I6" s="109">
        <f t="shared" si="2"/>
        <v>11982706.25</v>
      </c>
      <c r="J6" s="109">
        <f t="shared" si="2"/>
        <v>11982706.25</v>
      </c>
      <c r="K6" s="109">
        <f t="shared" si="2"/>
        <v>11982706.25</v>
      </c>
      <c r="L6" s="109">
        <f t="shared" si="2"/>
        <v>11982706.25</v>
      </c>
      <c r="M6" s="109">
        <f t="shared" si="2"/>
        <v>11982706.25</v>
      </c>
      <c r="N6" s="109">
        <f t="shared" si="2"/>
        <v>11982706.25</v>
      </c>
      <c r="O6" s="110">
        <f>'9.1. sz. mell ÖNK'!C15</f>
        <v>143792475</v>
      </c>
    </row>
    <row r="7" spans="1:15" s="111" customFormat="1" ht="22.5" x14ac:dyDescent="0.2">
      <c r="A7" s="108" t="s">
        <v>18</v>
      </c>
      <c r="B7" s="285" t="s">
        <v>412</v>
      </c>
      <c r="C7" s="109">
        <f t="shared" si="1"/>
        <v>1459272.0833333333</v>
      </c>
      <c r="D7" s="112">
        <f>$O$7/12</f>
        <v>1459272.0833333333</v>
      </c>
      <c r="E7" s="112">
        <f t="shared" ref="E7:N7" si="3">$O$7/12</f>
        <v>1459272.0833333333</v>
      </c>
      <c r="F7" s="112">
        <f t="shared" si="3"/>
        <v>1459272.0833333333</v>
      </c>
      <c r="G7" s="112">
        <f t="shared" si="3"/>
        <v>1459272.0833333333</v>
      </c>
      <c r="H7" s="112">
        <f t="shared" si="3"/>
        <v>1459272.0833333333</v>
      </c>
      <c r="I7" s="112">
        <f t="shared" si="3"/>
        <v>1459272.0833333333</v>
      </c>
      <c r="J7" s="112">
        <f t="shared" si="3"/>
        <v>1459272.0833333333</v>
      </c>
      <c r="K7" s="112">
        <f t="shared" si="3"/>
        <v>1459272.0833333333</v>
      </c>
      <c r="L7" s="112">
        <f t="shared" si="3"/>
        <v>1459272.0833333333</v>
      </c>
      <c r="M7" s="112">
        <f t="shared" si="3"/>
        <v>1459272.0833333333</v>
      </c>
      <c r="N7" s="112">
        <f t="shared" si="3"/>
        <v>1459272.0833333333</v>
      </c>
      <c r="O7" s="110">
        <f>'9.1. sz. mell ÖNK'!C22</f>
        <v>17511265</v>
      </c>
    </row>
    <row r="8" spans="1:15" s="111" customFormat="1" ht="14.1" customHeight="1" x14ac:dyDescent="0.2">
      <c r="A8" s="108" t="s">
        <v>19</v>
      </c>
      <c r="B8" s="284" t="s">
        <v>163</v>
      </c>
      <c r="C8" s="109">
        <f t="shared" si="1"/>
        <v>10293750</v>
      </c>
      <c r="D8" s="109">
        <f>$O$8/12</f>
        <v>10293750</v>
      </c>
      <c r="E8" s="109">
        <f t="shared" ref="E8:N8" si="4">$O$8/12</f>
        <v>10293750</v>
      </c>
      <c r="F8" s="109">
        <f t="shared" si="4"/>
        <v>10293750</v>
      </c>
      <c r="G8" s="109">
        <f t="shared" si="4"/>
        <v>10293750</v>
      </c>
      <c r="H8" s="109">
        <f t="shared" si="4"/>
        <v>10293750</v>
      </c>
      <c r="I8" s="109">
        <f t="shared" si="4"/>
        <v>10293750</v>
      </c>
      <c r="J8" s="109">
        <f t="shared" si="4"/>
        <v>10293750</v>
      </c>
      <c r="K8" s="109">
        <f t="shared" si="4"/>
        <v>10293750</v>
      </c>
      <c r="L8" s="109">
        <f t="shared" si="4"/>
        <v>10293750</v>
      </c>
      <c r="M8" s="109">
        <f t="shared" si="4"/>
        <v>10293750</v>
      </c>
      <c r="N8" s="109">
        <f t="shared" si="4"/>
        <v>10293750</v>
      </c>
      <c r="O8" s="110">
        <f>'9.1. sz. mell ÖNK'!C29</f>
        <v>123525000</v>
      </c>
    </row>
    <row r="9" spans="1:15" s="111" customFormat="1" ht="14.1" customHeight="1" x14ac:dyDescent="0.2">
      <c r="A9" s="108" t="s">
        <v>20</v>
      </c>
      <c r="B9" s="284" t="s">
        <v>413</v>
      </c>
      <c r="C9" s="109">
        <f t="shared" si="1"/>
        <v>1163329.4166666667</v>
      </c>
      <c r="D9" s="109">
        <f>$O$9/12</f>
        <v>1163329.4166666667</v>
      </c>
      <c r="E9" s="109">
        <f t="shared" ref="E9:N9" si="5">$O$9/12</f>
        <v>1163329.4166666667</v>
      </c>
      <c r="F9" s="109">
        <f t="shared" si="5"/>
        <v>1163329.4166666667</v>
      </c>
      <c r="G9" s="109">
        <f t="shared" si="5"/>
        <v>1163329.4166666667</v>
      </c>
      <c r="H9" s="109">
        <f t="shared" si="5"/>
        <v>1163329.4166666667</v>
      </c>
      <c r="I9" s="109">
        <f t="shared" si="5"/>
        <v>1163329.4166666667</v>
      </c>
      <c r="J9" s="109">
        <f t="shared" si="5"/>
        <v>1163329.4166666667</v>
      </c>
      <c r="K9" s="109">
        <f t="shared" si="5"/>
        <v>1163329.4166666667</v>
      </c>
      <c r="L9" s="109">
        <f t="shared" si="5"/>
        <v>1163329.4166666667</v>
      </c>
      <c r="M9" s="109">
        <f t="shared" si="5"/>
        <v>1163329.4166666667</v>
      </c>
      <c r="N9" s="109">
        <f t="shared" si="5"/>
        <v>1163329.4166666667</v>
      </c>
      <c r="O9" s="110">
        <f>'9.1. sz. mell ÖNK'!C38</f>
        <v>13959953</v>
      </c>
    </row>
    <row r="10" spans="1:15" s="111" customFormat="1" ht="14.1" customHeight="1" x14ac:dyDescent="0.2">
      <c r="A10" s="108" t="s">
        <v>21</v>
      </c>
      <c r="B10" s="284" t="s">
        <v>6</v>
      </c>
      <c r="C10" s="109">
        <f t="shared" si="1"/>
        <v>4795020</v>
      </c>
      <c r="D10" s="109">
        <f>$O$10/12</f>
        <v>4795020</v>
      </c>
      <c r="E10" s="109">
        <f t="shared" ref="E10:N10" si="6">$O$10/12</f>
        <v>4795020</v>
      </c>
      <c r="F10" s="109">
        <f t="shared" si="6"/>
        <v>4795020</v>
      </c>
      <c r="G10" s="109">
        <f t="shared" si="6"/>
        <v>4795020</v>
      </c>
      <c r="H10" s="109">
        <f t="shared" si="6"/>
        <v>4795020</v>
      </c>
      <c r="I10" s="109">
        <f t="shared" si="6"/>
        <v>4795020</v>
      </c>
      <c r="J10" s="109">
        <f t="shared" si="6"/>
        <v>4795020</v>
      </c>
      <c r="K10" s="109">
        <f t="shared" si="6"/>
        <v>4795020</v>
      </c>
      <c r="L10" s="109">
        <f t="shared" si="6"/>
        <v>4795020</v>
      </c>
      <c r="M10" s="109">
        <f t="shared" si="6"/>
        <v>4795020</v>
      </c>
      <c r="N10" s="109">
        <f t="shared" si="6"/>
        <v>4795020</v>
      </c>
      <c r="O10" s="110">
        <f>'9.1. sz. mell ÖNK'!C50</f>
        <v>57540240</v>
      </c>
    </row>
    <row r="11" spans="1:15" s="111" customFormat="1" ht="14.1" customHeight="1" x14ac:dyDescent="0.2">
      <c r="A11" s="108" t="s">
        <v>22</v>
      </c>
      <c r="B11" s="284" t="s">
        <v>367</v>
      </c>
      <c r="C11" s="109">
        <f t="shared" si="1"/>
        <v>0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>
        <f>'9.1. sz. mell ÖNK'!C56</f>
        <v>0</v>
      </c>
    </row>
    <row r="12" spans="1:15" s="111" customFormat="1" ht="22.5" x14ac:dyDescent="0.2">
      <c r="A12" s="108" t="s">
        <v>23</v>
      </c>
      <c r="B12" s="286" t="s">
        <v>399</v>
      </c>
      <c r="C12" s="112">
        <f t="shared" si="1"/>
        <v>34166.666666666664</v>
      </c>
      <c r="D12" s="109">
        <f>$O$12/12</f>
        <v>34166.666666666664</v>
      </c>
      <c r="E12" s="109">
        <f t="shared" ref="E12:N12" si="7">$O$12/12</f>
        <v>34166.666666666664</v>
      </c>
      <c r="F12" s="109">
        <f t="shared" si="7"/>
        <v>34166.666666666664</v>
      </c>
      <c r="G12" s="109">
        <f t="shared" si="7"/>
        <v>34166.666666666664</v>
      </c>
      <c r="H12" s="109">
        <f t="shared" si="7"/>
        <v>34166.666666666664</v>
      </c>
      <c r="I12" s="109">
        <f t="shared" si="7"/>
        <v>34166.666666666664</v>
      </c>
      <c r="J12" s="109">
        <f t="shared" si="7"/>
        <v>34166.666666666664</v>
      </c>
      <c r="K12" s="109">
        <f t="shared" si="7"/>
        <v>34166.666666666664</v>
      </c>
      <c r="L12" s="109">
        <f t="shared" si="7"/>
        <v>34166.666666666664</v>
      </c>
      <c r="M12" s="109">
        <f t="shared" si="7"/>
        <v>34166.666666666664</v>
      </c>
      <c r="N12" s="109">
        <f t="shared" si="7"/>
        <v>34166.666666666664</v>
      </c>
      <c r="O12" s="110">
        <f>'9.1. sz. mell ÖNK'!C61</f>
        <v>410000</v>
      </c>
    </row>
    <row r="13" spans="1:15" s="111" customFormat="1" ht="14.1" customHeight="1" thickBot="1" x14ac:dyDescent="0.25">
      <c r="A13" s="553" t="s">
        <v>24</v>
      </c>
      <c r="B13" s="554" t="s">
        <v>7</v>
      </c>
      <c r="C13" s="107">
        <f t="shared" si="1"/>
        <v>79175161.416666672</v>
      </c>
      <c r="D13" s="555">
        <f>$O$13/12</f>
        <v>79175161.416666672</v>
      </c>
      <c r="E13" s="555">
        <f t="shared" ref="E13:N13" si="8">$O$13/12</f>
        <v>79175161.416666672</v>
      </c>
      <c r="F13" s="555">
        <f t="shared" si="8"/>
        <v>79175161.416666672</v>
      </c>
      <c r="G13" s="555">
        <f t="shared" si="8"/>
        <v>79175161.416666672</v>
      </c>
      <c r="H13" s="555">
        <f t="shared" si="8"/>
        <v>79175161.416666672</v>
      </c>
      <c r="I13" s="555">
        <f t="shared" si="8"/>
        <v>79175161.416666672</v>
      </c>
      <c r="J13" s="555">
        <f t="shared" si="8"/>
        <v>79175161.416666672</v>
      </c>
      <c r="K13" s="555">
        <f t="shared" si="8"/>
        <v>79175161.416666672</v>
      </c>
      <c r="L13" s="555">
        <f t="shared" si="8"/>
        <v>79175161.416666672</v>
      </c>
      <c r="M13" s="555">
        <f t="shared" si="8"/>
        <v>79175161.416666672</v>
      </c>
      <c r="N13" s="555">
        <f t="shared" si="8"/>
        <v>79175161.416666672</v>
      </c>
      <c r="O13" s="556">
        <f>'9.1. sz. mell ÖNK'!C90</f>
        <v>950101937</v>
      </c>
    </row>
    <row r="14" spans="1:15" s="106" customFormat="1" ht="15.95" customHeight="1" thickBot="1" x14ac:dyDescent="0.25">
      <c r="A14" s="105" t="s">
        <v>25</v>
      </c>
      <c r="B14" s="39" t="s">
        <v>103</v>
      </c>
      <c r="C14" s="114">
        <f t="shared" ref="C14:N14" si="9">SUM(C5:C13)</f>
        <v>150120528.66666669</v>
      </c>
      <c r="D14" s="114">
        <f t="shared" si="9"/>
        <v>150120528.66666669</v>
      </c>
      <c r="E14" s="114">
        <f t="shared" si="9"/>
        <v>150120528.66666669</v>
      </c>
      <c r="F14" s="114">
        <f t="shared" si="9"/>
        <v>150120528.66666669</v>
      </c>
      <c r="G14" s="114">
        <f t="shared" si="9"/>
        <v>150120528.66666669</v>
      </c>
      <c r="H14" s="114">
        <f t="shared" si="9"/>
        <v>150120528.66666669</v>
      </c>
      <c r="I14" s="114">
        <f t="shared" si="9"/>
        <v>150120528.66666669</v>
      </c>
      <c r="J14" s="114">
        <f t="shared" si="9"/>
        <v>150120528.66666669</v>
      </c>
      <c r="K14" s="114">
        <f t="shared" si="9"/>
        <v>150120528.66666669</v>
      </c>
      <c r="L14" s="114">
        <f t="shared" si="9"/>
        <v>150120528.66666669</v>
      </c>
      <c r="M14" s="114">
        <f t="shared" si="9"/>
        <v>150120528.66666669</v>
      </c>
      <c r="N14" s="114">
        <f t="shared" si="9"/>
        <v>150120528.66666669</v>
      </c>
      <c r="O14" s="115">
        <f>SUM(C14:N14)</f>
        <v>1801446344.0000007</v>
      </c>
    </row>
    <row r="15" spans="1:15" s="106" customFormat="1" ht="15" customHeight="1" thickBot="1" x14ac:dyDescent="0.25">
      <c r="A15" s="105" t="s">
        <v>26</v>
      </c>
      <c r="B15" s="721" t="s">
        <v>54</v>
      </c>
      <c r="C15" s="722"/>
      <c r="D15" s="722"/>
      <c r="E15" s="722"/>
      <c r="F15" s="722"/>
      <c r="G15" s="722"/>
      <c r="H15" s="722"/>
      <c r="I15" s="722"/>
      <c r="J15" s="722"/>
      <c r="K15" s="722"/>
      <c r="L15" s="722"/>
      <c r="M15" s="722"/>
      <c r="N15" s="722"/>
      <c r="O15" s="723"/>
    </row>
    <row r="16" spans="1:15" s="111" customFormat="1" ht="14.1" customHeight="1" x14ac:dyDescent="0.2">
      <c r="A16" s="116" t="s">
        <v>27</v>
      </c>
      <c r="B16" s="287" t="s">
        <v>60</v>
      </c>
      <c r="C16" s="112">
        <f>O16/12</f>
        <v>12972231.083333334</v>
      </c>
      <c r="D16" s="112">
        <f>$O$16/12</f>
        <v>12972231.083333334</v>
      </c>
      <c r="E16" s="112">
        <f t="shared" ref="E16:N16" si="10">$O$16/12</f>
        <v>12972231.083333334</v>
      </c>
      <c r="F16" s="112">
        <f t="shared" si="10"/>
        <v>12972231.083333334</v>
      </c>
      <c r="G16" s="112">
        <f t="shared" si="10"/>
        <v>12972231.083333334</v>
      </c>
      <c r="H16" s="112">
        <f t="shared" si="10"/>
        <v>12972231.083333334</v>
      </c>
      <c r="I16" s="112">
        <f t="shared" si="10"/>
        <v>12972231.083333334</v>
      </c>
      <c r="J16" s="112">
        <f t="shared" si="10"/>
        <v>12972231.083333334</v>
      </c>
      <c r="K16" s="112">
        <f t="shared" si="10"/>
        <v>12972231.083333334</v>
      </c>
      <c r="L16" s="112">
        <f t="shared" si="10"/>
        <v>12972231.083333334</v>
      </c>
      <c r="M16" s="112">
        <f t="shared" si="10"/>
        <v>12972231.083333334</v>
      </c>
      <c r="N16" s="112">
        <f t="shared" si="10"/>
        <v>12972231.083333334</v>
      </c>
      <c r="O16" s="551">
        <f>'9.1. sz. mell ÖNK'!C95</f>
        <v>155666773</v>
      </c>
    </row>
    <row r="17" spans="1:15" s="111" customFormat="1" ht="27" customHeight="1" x14ac:dyDescent="0.2">
      <c r="A17" s="108" t="s">
        <v>28</v>
      </c>
      <c r="B17" s="286" t="s">
        <v>172</v>
      </c>
      <c r="C17" s="112">
        <f t="shared" ref="C17:C24" si="11">O17/12</f>
        <v>1680100.9166666667</v>
      </c>
      <c r="D17" s="109">
        <f>$O$17/12</f>
        <v>1680100.9166666667</v>
      </c>
      <c r="E17" s="109">
        <f t="shared" ref="E17:M17" si="12">$O$17/12</f>
        <v>1680100.9166666667</v>
      </c>
      <c r="F17" s="109">
        <f t="shared" si="12"/>
        <v>1680100.9166666667</v>
      </c>
      <c r="G17" s="109">
        <f t="shared" si="12"/>
        <v>1680100.9166666667</v>
      </c>
      <c r="H17" s="109">
        <f t="shared" si="12"/>
        <v>1680100.9166666667</v>
      </c>
      <c r="I17" s="109">
        <f t="shared" si="12"/>
        <v>1680100.9166666667</v>
      </c>
      <c r="J17" s="109">
        <f t="shared" si="12"/>
        <v>1680100.9166666667</v>
      </c>
      <c r="K17" s="109">
        <f t="shared" si="12"/>
        <v>1680100.9166666667</v>
      </c>
      <c r="L17" s="109">
        <f t="shared" si="12"/>
        <v>1680100.9166666667</v>
      </c>
      <c r="M17" s="109">
        <f t="shared" si="12"/>
        <v>1680100.9166666667</v>
      </c>
      <c r="N17" s="109">
        <f>$O$17/12</f>
        <v>1680100.9166666667</v>
      </c>
      <c r="O17" s="110">
        <f>'9.1. sz. mell ÖNK'!C96</f>
        <v>20161211</v>
      </c>
    </row>
    <row r="18" spans="1:15" s="111" customFormat="1" ht="14.1" customHeight="1" x14ac:dyDescent="0.2">
      <c r="A18" s="108" t="s">
        <v>29</v>
      </c>
      <c r="B18" s="284" t="s">
        <v>134</v>
      </c>
      <c r="C18" s="112">
        <f t="shared" si="11"/>
        <v>13451360.5</v>
      </c>
      <c r="D18" s="109">
        <f>$O$18/12</f>
        <v>13451360.5</v>
      </c>
      <c r="E18" s="109">
        <f t="shared" ref="E18:N18" si="13">$O$18/12</f>
        <v>13451360.5</v>
      </c>
      <c r="F18" s="109">
        <f t="shared" si="13"/>
        <v>13451360.5</v>
      </c>
      <c r="G18" s="109">
        <f t="shared" si="13"/>
        <v>13451360.5</v>
      </c>
      <c r="H18" s="109">
        <f t="shared" si="13"/>
        <v>13451360.5</v>
      </c>
      <c r="I18" s="109">
        <f t="shared" si="13"/>
        <v>13451360.5</v>
      </c>
      <c r="J18" s="109">
        <f t="shared" si="13"/>
        <v>13451360.5</v>
      </c>
      <c r="K18" s="109">
        <f t="shared" si="13"/>
        <v>13451360.5</v>
      </c>
      <c r="L18" s="109">
        <f t="shared" si="13"/>
        <v>13451360.5</v>
      </c>
      <c r="M18" s="109">
        <f t="shared" si="13"/>
        <v>13451360.5</v>
      </c>
      <c r="N18" s="109">
        <f t="shared" si="13"/>
        <v>13451360.5</v>
      </c>
      <c r="O18" s="110">
        <f>'9.1. sz. mell ÖNK'!C97</f>
        <v>161416326</v>
      </c>
    </row>
    <row r="19" spans="1:15" s="111" customFormat="1" ht="14.1" customHeight="1" x14ac:dyDescent="0.2">
      <c r="A19" s="108" t="s">
        <v>30</v>
      </c>
      <c r="B19" s="284" t="s">
        <v>173</v>
      </c>
      <c r="C19" s="112">
        <f t="shared" si="11"/>
        <v>2165166.6666666665</v>
      </c>
      <c r="D19" s="109">
        <f>$O$19/12</f>
        <v>2165166.6666666665</v>
      </c>
      <c r="E19" s="109">
        <f t="shared" ref="E19:N19" si="14">$O$19/12</f>
        <v>2165166.6666666665</v>
      </c>
      <c r="F19" s="109">
        <f t="shared" si="14"/>
        <v>2165166.6666666665</v>
      </c>
      <c r="G19" s="109">
        <f t="shared" si="14"/>
        <v>2165166.6666666665</v>
      </c>
      <c r="H19" s="109">
        <f t="shared" si="14"/>
        <v>2165166.6666666665</v>
      </c>
      <c r="I19" s="109">
        <f t="shared" si="14"/>
        <v>2165166.6666666665</v>
      </c>
      <c r="J19" s="109">
        <f t="shared" si="14"/>
        <v>2165166.6666666665</v>
      </c>
      <c r="K19" s="109">
        <f t="shared" si="14"/>
        <v>2165166.6666666665</v>
      </c>
      <c r="L19" s="109">
        <f t="shared" si="14"/>
        <v>2165166.6666666665</v>
      </c>
      <c r="M19" s="109">
        <f t="shared" si="14"/>
        <v>2165166.6666666665</v>
      </c>
      <c r="N19" s="109">
        <f t="shared" si="14"/>
        <v>2165166.6666666665</v>
      </c>
      <c r="O19" s="110">
        <f>'9.1. sz. mell ÖNK'!C99</f>
        <v>25982000</v>
      </c>
    </row>
    <row r="20" spans="1:15" s="111" customFormat="1" ht="14.1" customHeight="1" x14ac:dyDescent="0.2">
      <c r="A20" s="108" t="s">
        <v>31</v>
      </c>
      <c r="B20" s="284" t="s">
        <v>8</v>
      </c>
      <c r="C20" s="112">
        <f t="shared" si="11"/>
        <v>2133333.3333333335</v>
      </c>
      <c r="D20" s="109">
        <f>$O$20/12</f>
        <v>2133333.3333333335</v>
      </c>
      <c r="E20" s="109">
        <f t="shared" ref="E20:N20" si="15">$O$20/12</f>
        <v>2133333.3333333335</v>
      </c>
      <c r="F20" s="109">
        <f t="shared" si="15"/>
        <v>2133333.3333333335</v>
      </c>
      <c r="G20" s="109">
        <f t="shared" si="15"/>
        <v>2133333.3333333335</v>
      </c>
      <c r="H20" s="109">
        <f t="shared" si="15"/>
        <v>2133333.3333333335</v>
      </c>
      <c r="I20" s="109">
        <f t="shared" si="15"/>
        <v>2133333.3333333335</v>
      </c>
      <c r="J20" s="109">
        <f t="shared" si="15"/>
        <v>2133333.3333333335</v>
      </c>
      <c r="K20" s="109">
        <f t="shared" si="15"/>
        <v>2133333.3333333335</v>
      </c>
      <c r="L20" s="109">
        <f t="shared" si="15"/>
        <v>2133333.3333333335</v>
      </c>
      <c r="M20" s="109">
        <f t="shared" si="15"/>
        <v>2133333.3333333335</v>
      </c>
      <c r="N20" s="109">
        <f t="shared" si="15"/>
        <v>2133333.3333333335</v>
      </c>
      <c r="O20" s="113">
        <f>'9.1. sz. mell ÖNK'!C100</f>
        <v>25600000</v>
      </c>
    </row>
    <row r="21" spans="1:15" s="111" customFormat="1" ht="14.1" customHeight="1" x14ac:dyDescent="0.2">
      <c r="A21" s="108" t="s">
        <v>32</v>
      </c>
      <c r="B21" s="284" t="s">
        <v>214</v>
      </c>
      <c r="C21" s="112">
        <f t="shared" si="11"/>
        <v>49259886.333333336</v>
      </c>
      <c r="D21" s="109">
        <f>$O$21/12</f>
        <v>49259886.333333336</v>
      </c>
      <c r="E21" s="109">
        <f t="shared" ref="E21:N21" si="16">$O$21/12</f>
        <v>49259886.333333336</v>
      </c>
      <c r="F21" s="109">
        <f t="shared" si="16"/>
        <v>49259886.333333336</v>
      </c>
      <c r="G21" s="109">
        <f t="shared" si="16"/>
        <v>49259886.333333336</v>
      </c>
      <c r="H21" s="109">
        <f t="shared" si="16"/>
        <v>49259886.333333336</v>
      </c>
      <c r="I21" s="109">
        <f t="shared" si="16"/>
        <v>49259886.333333336</v>
      </c>
      <c r="J21" s="109">
        <f t="shared" si="16"/>
        <v>49259886.333333336</v>
      </c>
      <c r="K21" s="109">
        <f t="shared" si="16"/>
        <v>49259886.333333336</v>
      </c>
      <c r="L21" s="109">
        <f t="shared" si="16"/>
        <v>49259886.333333336</v>
      </c>
      <c r="M21" s="109">
        <f t="shared" si="16"/>
        <v>49259886.333333336</v>
      </c>
      <c r="N21" s="109">
        <f t="shared" si="16"/>
        <v>49259886.333333336</v>
      </c>
      <c r="O21" s="113">
        <f>'9.1. sz. mell ÖNK'!C117</f>
        <v>591118636</v>
      </c>
    </row>
    <row r="22" spans="1:15" s="111" customFormat="1" x14ac:dyDescent="0.2">
      <c r="A22" s="108" t="s">
        <v>33</v>
      </c>
      <c r="B22" s="286" t="s">
        <v>176</v>
      </c>
      <c r="C22" s="112">
        <f t="shared" si="11"/>
        <v>1916713.9166666667</v>
      </c>
      <c r="D22" s="109">
        <f>$O$22/12</f>
        <v>1916713.9166666667</v>
      </c>
      <c r="E22" s="109">
        <f t="shared" ref="E22:N22" si="17">$O$22/12</f>
        <v>1916713.9166666667</v>
      </c>
      <c r="F22" s="109">
        <f t="shared" si="17"/>
        <v>1916713.9166666667</v>
      </c>
      <c r="G22" s="109">
        <f t="shared" si="17"/>
        <v>1916713.9166666667</v>
      </c>
      <c r="H22" s="109">
        <f t="shared" si="17"/>
        <v>1916713.9166666667</v>
      </c>
      <c r="I22" s="109">
        <f t="shared" si="17"/>
        <v>1916713.9166666667</v>
      </c>
      <c r="J22" s="109">
        <f t="shared" si="17"/>
        <v>1916713.9166666667</v>
      </c>
      <c r="K22" s="109">
        <f t="shared" si="17"/>
        <v>1916713.9166666667</v>
      </c>
      <c r="L22" s="109">
        <f t="shared" si="17"/>
        <v>1916713.9166666667</v>
      </c>
      <c r="M22" s="109">
        <f t="shared" si="17"/>
        <v>1916713.9166666667</v>
      </c>
      <c r="N22" s="109">
        <f t="shared" si="17"/>
        <v>1916713.9166666667</v>
      </c>
      <c r="O22" s="113">
        <f>'9.1. sz. mell ÖNK'!C119</f>
        <v>23000567</v>
      </c>
    </row>
    <row r="23" spans="1:15" s="111" customFormat="1" ht="14.1" customHeight="1" x14ac:dyDescent="0.2">
      <c r="A23" s="108" t="s">
        <v>34</v>
      </c>
      <c r="B23" s="284" t="s">
        <v>217</v>
      </c>
      <c r="C23" s="112">
        <f t="shared" si="11"/>
        <v>108333.33333333333</v>
      </c>
      <c r="D23" s="109">
        <f>$O$23/12</f>
        <v>108333.33333333333</v>
      </c>
      <c r="E23" s="109">
        <f t="shared" ref="E23:N23" si="18">$O$23/12</f>
        <v>108333.33333333333</v>
      </c>
      <c r="F23" s="109">
        <f t="shared" si="18"/>
        <v>108333.33333333333</v>
      </c>
      <c r="G23" s="109">
        <f t="shared" si="18"/>
        <v>108333.33333333333</v>
      </c>
      <c r="H23" s="109">
        <f t="shared" si="18"/>
        <v>108333.33333333333</v>
      </c>
      <c r="I23" s="109">
        <f t="shared" si="18"/>
        <v>108333.33333333333</v>
      </c>
      <c r="J23" s="109">
        <f t="shared" si="18"/>
        <v>108333.33333333333</v>
      </c>
      <c r="K23" s="109">
        <f t="shared" si="18"/>
        <v>108333.33333333333</v>
      </c>
      <c r="L23" s="109">
        <f t="shared" si="18"/>
        <v>108333.33333333333</v>
      </c>
      <c r="M23" s="109">
        <f t="shared" si="18"/>
        <v>108333.33333333333</v>
      </c>
      <c r="N23" s="109">
        <f t="shared" si="18"/>
        <v>108333.33333333333</v>
      </c>
      <c r="O23" s="113">
        <f>'9.1. sz. mell ÖNK'!C121</f>
        <v>1300000</v>
      </c>
    </row>
    <row r="24" spans="1:15" s="111" customFormat="1" ht="14.1" customHeight="1" thickBot="1" x14ac:dyDescent="0.25">
      <c r="A24" s="108" t="s">
        <v>35</v>
      </c>
      <c r="B24" s="284" t="s">
        <v>9</v>
      </c>
      <c r="C24" s="112">
        <f t="shared" si="11"/>
        <v>41914866.583333336</v>
      </c>
      <c r="D24" s="109">
        <f>$O$24/12</f>
        <v>41914866.583333336</v>
      </c>
      <c r="E24" s="109">
        <f t="shared" ref="E24:N24" si="19">$O$24/12</f>
        <v>41914866.583333336</v>
      </c>
      <c r="F24" s="109">
        <f t="shared" si="19"/>
        <v>41914866.583333336</v>
      </c>
      <c r="G24" s="109">
        <f t="shared" si="19"/>
        <v>41914866.583333336</v>
      </c>
      <c r="H24" s="109">
        <f t="shared" si="19"/>
        <v>41914866.583333336</v>
      </c>
      <c r="I24" s="109">
        <f t="shared" si="19"/>
        <v>41914866.583333336</v>
      </c>
      <c r="J24" s="109">
        <f t="shared" si="19"/>
        <v>41914866.583333336</v>
      </c>
      <c r="K24" s="109">
        <f t="shared" si="19"/>
        <v>41914866.583333336</v>
      </c>
      <c r="L24" s="109">
        <f t="shared" si="19"/>
        <v>41914866.583333336</v>
      </c>
      <c r="M24" s="109">
        <f t="shared" si="19"/>
        <v>41914866.583333336</v>
      </c>
      <c r="N24" s="109">
        <f t="shared" si="19"/>
        <v>41914866.583333336</v>
      </c>
      <c r="O24" s="113">
        <f>'9.1. sz. mell ÖNK'!C156</f>
        <v>502978399</v>
      </c>
    </row>
    <row r="25" spans="1:15" s="106" customFormat="1" ht="15.95" customHeight="1" thickBot="1" x14ac:dyDescent="0.25">
      <c r="A25" s="117" t="s">
        <v>36</v>
      </c>
      <c r="B25" s="39" t="s">
        <v>104</v>
      </c>
      <c r="C25" s="114">
        <f t="shared" ref="C25:N25" si="20">SUM(C16:C24)</f>
        <v>125601992.66666669</v>
      </c>
      <c r="D25" s="114">
        <f t="shared" si="20"/>
        <v>125601992.66666669</v>
      </c>
      <c r="E25" s="114">
        <f t="shared" si="20"/>
        <v>125601992.66666669</v>
      </c>
      <c r="F25" s="114">
        <f t="shared" si="20"/>
        <v>125601992.66666669</v>
      </c>
      <c r="G25" s="114">
        <f t="shared" si="20"/>
        <v>125601992.66666669</v>
      </c>
      <c r="H25" s="114">
        <f t="shared" si="20"/>
        <v>125601992.66666669</v>
      </c>
      <c r="I25" s="114">
        <f t="shared" si="20"/>
        <v>125601992.66666669</v>
      </c>
      <c r="J25" s="114">
        <f t="shared" si="20"/>
        <v>125601992.66666669</v>
      </c>
      <c r="K25" s="114">
        <f t="shared" si="20"/>
        <v>125601992.66666669</v>
      </c>
      <c r="L25" s="114">
        <f t="shared" si="20"/>
        <v>125601992.66666669</v>
      </c>
      <c r="M25" s="114">
        <f t="shared" si="20"/>
        <v>125601992.66666669</v>
      </c>
      <c r="N25" s="114">
        <f t="shared" si="20"/>
        <v>125601992.66666669</v>
      </c>
      <c r="O25" s="115">
        <f>SUM(C25:N25)</f>
        <v>1507223912.0000007</v>
      </c>
    </row>
    <row r="26" spans="1:15" ht="16.5" thickBot="1" x14ac:dyDescent="0.3">
      <c r="A26" s="117" t="s">
        <v>37</v>
      </c>
      <c r="B26" s="288" t="s">
        <v>105</v>
      </c>
      <c r="C26" s="118">
        <f t="shared" ref="C26:O26" si="21">C14-C25</f>
        <v>24518536</v>
      </c>
      <c r="D26" s="118">
        <f t="shared" si="21"/>
        <v>24518536</v>
      </c>
      <c r="E26" s="118">
        <f t="shared" si="21"/>
        <v>24518536</v>
      </c>
      <c r="F26" s="118">
        <f t="shared" si="21"/>
        <v>24518536</v>
      </c>
      <c r="G26" s="118">
        <f t="shared" si="21"/>
        <v>24518536</v>
      </c>
      <c r="H26" s="118">
        <f t="shared" si="21"/>
        <v>24518536</v>
      </c>
      <c r="I26" s="118">
        <f t="shared" si="21"/>
        <v>24518536</v>
      </c>
      <c r="J26" s="118">
        <f t="shared" si="21"/>
        <v>24518536</v>
      </c>
      <c r="K26" s="118">
        <f t="shared" si="21"/>
        <v>24518536</v>
      </c>
      <c r="L26" s="118">
        <f t="shared" si="21"/>
        <v>24518536</v>
      </c>
      <c r="M26" s="118">
        <f t="shared" si="21"/>
        <v>24518536</v>
      </c>
      <c r="N26" s="118">
        <f t="shared" si="21"/>
        <v>24518536</v>
      </c>
      <c r="O26" s="119">
        <f t="shared" si="21"/>
        <v>294222432</v>
      </c>
    </row>
    <row r="27" spans="1:15" x14ac:dyDescent="0.25">
      <c r="A27" s="121"/>
    </row>
    <row r="28" spans="1:15" x14ac:dyDescent="0.25">
      <c r="B28" s="122"/>
      <c r="C28" s="123"/>
      <c r="D28" s="123"/>
      <c r="O28" s="120"/>
    </row>
    <row r="29" spans="1:15" x14ac:dyDescent="0.25">
      <c r="O29" s="120"/>
    </row>
    <row r="30" spans="1:15" x14ac:dyDescent="0.25">
      <c r="O30" s="120"/>
    </row>
    <row r="31" spans="1:15" x14ac:dyDescent="0.25">
      <c r="O31" s="120"/>
    </row>
    <row r="32" spans="1:15" x14ac:dyDescent="0.25">
      <c r="O32" s="120"/>
    </row>
    <row r="33" spans="15:15" x14ac:dyDescent="0.25">
      <c r="O33" s="120"/>
    </row>
    <row r="34" spans="15:15" x14ac:dyDescent="0.25">
      <c r="O34" s="120"/>
    </row>
    <row r="35" spans="15:15" x14ac:dyDescent="0.25">
      <c r="O35" s="120"/>
    </row>
    <row r="36" spans="15:15" x14ac:dyDescent="0.25">
      <c r="O36" s="120"/>
    </row>
    <row r="37" spans="15:15" x14ac:dyDescent="0.25">
      <c r="O37" s="120"/>
    </row>
    <row r="38" spans="15:15" x14ac:dyDescent="0.25">
      <c r="O38" s="120"/>
    </row>
    <row r="39" spans="15:15" x14ac:dyDescent="0.25">
      <c r="O39" s="120"/>
    </row>
    <row r="40" spans="15:15" x14ac:dyDescent="0.25">
      <c r="O40" s="120"/>
    </row>
    <row r="41" spans="15:15" x14ac:dyDescent="0.25">
      <c r="O41" s="120"/>
    </row>
    <row r="42" spans="15:15" x14ac:dyDescent="0.25">
      <c r="O42" s="120"/>
    </row>
    <row r="43" spans="15:15" x14ac:dyDescent="0.25">
      <c r="O43" s="120"/>
    </row>
    <row r="44" spans="15:15" x14ac:dyDescent="0.25">
      <c r="O44" s="120"/>
    </row>
    <row r="45" spans="15:15" x14ac:dyDescent="0.25">
      <c r="O45" s="120"/>
    </row>
    <row r="46" spans="15:15" x14ac:dyDescent="0.25">
      <c r="O46" s="120"/>
    </row>
    <row r="47" spans="15:15" x14ac:dyDescent="0.25">
      <c r="O47" s="120"/>
    </row>
    <row r="48" spans="15:15" x14ac:dyDescent="0.25">
      <c r="O48" s="120"/>
    </row>
    <row r="49" spans="15:15" x14ac:dyDescent="0.25">
      <c r="O49" s="120"/>
    </row>
    <row r="50" spans="15:15" x14ac:dyDescent="0.25">
      <c r="O50" s="120"/>
    </row>
    <row r="51" spans="15:15" x14ac:dyDescent="0.25">
      <c r="O51" s="120"/>
    </row>
    <row r="52" spans="15:15" x14ac:dyDescent="0.25">
      <c r="O52" s="120"/>
    </row>
    <row r="53" spans="15:15" x14ac:dyDescent="0.25">
      <c r="O53" s="120"/>
    </row>
    <row r="54" spans="15:15" x14ac:dyDescent="0.25">
      <c r="O54" s="120"/>
    </row>
    <row r="55" spans="15:15" x14ac:dyDescent="0.25">
      <c r="O55" s="120"/>
    </row>
    <row r="56" spans="15:15" x14ac:dyDescent="0.25">
      <c r="O56" s="120"/>
    </row>
    <row r="57" spans="15:15" x14ac:dyDescent="0.25">
      <c r="O57" s="120"/>
    </row>
    <row r="58" spans="15:15" x14ac:dyDescent="0.25">
      <c r="O58" s="120"/>
    </row>
    <row r="59" spans="15:15" x14ac:dyDescent="0.25">
      <c r="O59" s="120"/>
    </row>
    <row r="60" spans="15:15" x14ac:dyDescent="0.25">
      <c r="O60" s="120"/>
    </row>
    <row r="61" spans="15:15" x14ac:dyDescent="0.25">
      <c r="O61" s="120"/>
    </row>
    <row r="62" spans="15:15" x14ac:dyDescent="0.25">
      <c r="O62" s="120"/>
    </row>
    <row r="63" spans="15:15" x14ac:dyDescent="0.25">
      <c r="O63" s="120"/>
    </row>
    <row r="64" spans="15:15" x14ac:dyDescent="0.25">
      <c r="O64" s="120"/>
    </row>
    <row r="65" spans="15:15" x14ac:dyDescent="0.25">
      <c r="O65" s="120"/>
    </row>
    <row r="66" spans="15:15" x14ac:dyDescent="0.25">
      <c r="O66" s="120"/>
    </row>
    <row r="67" spans="15:15" x14ac:dyDescent="0.25">
      <c r="O67" s="120"/>
    </row>
    <row r="68" spans="15:15" x14ac:dyDescent="0.25">
      <c r="O68" s="120"/>
    </row>
    <row r="69" spans="15:15" x14ac:dyDescent="0.25">
      <c r="O69" s="120"/>
    </row>
    <row r="70" spans="15:15" x14ac:dyDescent="0.25">
      <c r="O70" s="120"/>
    </row>
    <row r="71" spans="15:15" x14ac:dyDescent="0.25">
      <c r="O71" s="120"/>
    </row>
    <row r="72" spans="15:15" x14ac:dyDescent="0.25">
      <c r="O72" s="120"/>
    </row>
    <row r="73" spans="15:15" x14ac:dyDescent="0.25">
      <c r="O73" s="120"/>
    </row>
    <row r="74" spans="15:15" x14ac:dyDescent="0.25">
      <c r="O74" s="120"/>
    </row>
    <row r="75" spans="15:15" x14ac:dyDescent="0.25">
      <c r="O75" s="120"/>
    </row>
    <row r="76" spans="15:15" x14ac:dyDescent="0.25">
      <c r="O76" s="120"/>
    </row>
    <row r="77" spans="15:15" x14ac:dyDescent="0.25">
      <c r="O77" s="120"/>
    </row>
    <row r="78" spans="15:15" x14ac:dyDescent="0.25">
      <c r="O78" s="120"/>
    </row>
    <row r="79" spans="15:15" x14ac:dyDescent="0.25">
      <c r="O79" s="120"/>
    </row>
    <row r="80" spans="15:15" x14ac:dyDescent="0.25">
      <c r="O80" s="120"/>
    </row>
    <row r="81" spans="15:15" x14ac:dyDescent="0.25">
      <c r="O81" s="120"/>
    </row>
  </sheetData>
  <mergeCells count="3">
    <mergeCell ref="B4:O4"/>
    <mergeCell ref="B15:O15"/>
    <mergeCell ref="A1:O1"/>
  </mergeCells>
  <phoneticPr fontId="0" type="noConversion"/>
  <printOptions horizontalCentered="1"/>
  <pageMargins left="0.78740157480314965" right="0.78740157480314965" top="1.0687500000000001" bottom="0.98425196850393704" header="0.78740157480314965" footer="0.78740157480314965"/>
  <pageSetup paperSize="9" scale="78" orientation="landscape" r:id="rId1"/>
  <headerFooter alignWithMargins="0">
    <oddHeader>&amp;R&amp;"Times New Roman CE,Félkövér dőlt"&amp;11 4. tájékoztató tábla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rgb="FF92D050"/>
    <pageSetUpPr fitToPage="1"/>
  </sheetPr>
  <dimension ref="A1:C40"/>
  <sheetViews>
    <sheetView topLeftCell="A4" zoomScaleNormal="100" workbookViewId="0">
      <selection activeCell="E33" sqref="E33"/>
    </sheetView>
  </sheetViews>
  <sheetFormatPr defaultColWidth="9.33203125" defaultRowHeight="12.75" x14ac:dyDescent="0.2"/>
  <cols>
    <col min="1" max="1" width="88.6640625" style="49" customWidth="1"/>
    <col min="2" max="2" width="27.83203125" style="49" customWidth="1"/>
    <col min="3" max="3" width="3.5" style="49" customWidth="1"/>
    <col min="4" max="16384" width="9.33203125" style="49"/>
  </cols>
  <sheetData>
    <row r="1" spans="1:3" ht="47.25" customHeight="1" x14ac:dyDescent="0.2">
      <c r="A1" s="726" t="str">
        <f>+CONCATENATE("A ",LEFT(ÖSSZEFÜGGÉSEK!A5,4),". évi általános működés és ágazati feladatok támogatásának alakulása jogcímenként")</f>
        <v>A 2019. évi általános működés és ágazati feladatok támogatásának alakulása jogcímenként</v>
      </c>
      <c r="B1" s="726"/>
    </row>
    <row r="2" spans="1:3" ht="22.5" customHeight="1" thickBot="1" x14ac:dyDescent="0.25">
      <c r="A2" s="382"/>
      <c r="B2" s="383" t="s">
        <v>10</v>
      </c>
    </row>
    <row r="3" spans="1:3" s="50" customFormat="1" ht="24" customHeight="1" thickBot="1" x14ac:dyDescent="0.25">
      <c r="A3" s="290" t="s">
        <v>49</v>
      </c>
      <c r="B3" s="381" t="str">
        <f>+CONCATENATE(LEFT(ÖSSZEFÜGGÉSEK!A5,4),". évi támogatás összesen")</f>
        <v>2019. évi támogatás összesen</v>
      </c>
    </row>
    <row r="4" spans="1:3" s="51" customFormat="1" ht="13.5" thickBot="1" x14ac:dyDescent="0.25">
      <c r="A4" s="195" t="s">
        <v>484</v>
      </c>
      <c r="B4" s="196" t="s">
        <v>485</v>
      </c>
    </row>
    <row r="5" spans="1:3" x14ac:dyDescent="0.2">
      <c r="A5" s="124" t="s">
        <v>580</v>
      </c>
      <c r="B5" s="414">
        <v>108820800</v>
      </c>
    </row>
    <row r="6" spans="1:3" ht="12.75" customHeight="1" x14ac:dyDescent="0.2">
      <c r="A6" s="125" t="s">
        <v>581</v>
      </c>
      <c r="B6" s="414">
        <f>SUM(B7:B10)</f>
        <v>39399839</v>
      </c>
    </row>
    <row r="7" spans="1:3" x14ac:dyDescent="0.2">
      <c r="A7" s="125" t="s">
        <v>582</v>
      </c>
      <c r="B7" s="559">
        <v>14167190</v>
      </c>
    </row>
    <row r="8" spans="1:3" x14ac:dyDescent="0.2">
      <c r="A8" s="125" t="s">
        <v>583</v>
      </c>
      <c r="B8" s="559">
        <v>14112000</v>
      </c>
    </row>
    <row r="9" spans="1:3" x14ac:dyDescent="0.2">
      <c r="A9" s="125" t="s">
        <v>584</v>
      </c>
      <c r="B9" s="559">
        <v>2076969</v>
      </c>
    </row>
    <row r="10" spans="1:3" x14ac:dyDescent="0.2">
      <c r="A10" s="125" t="s">
        <v>585</v>
      </c>
      <c r="B10" s="559">
        <v>9043680</v>
      </c>
    </row>
    <row r="11" spans="1:3" x14ac:dyDescent="0.2">
      <c r="A11" s="125" t="s">
        <v>586</v>
      </c>
      <c r="B11" s="414">
        <v>18819000</v>
      </c>
    </row>
    <row r="12" spans="1:3" x14ac:dyDescent="0.2">
      <c r="A12" s="125" t="s">
        <v>587</v>
      </c>
      <c r="B12" s="414">
        <v>17850</v>
      </c>
    </row>
    <row r="13" spans="1:3" x14ac:dyDescent="0.2">
      <c r="A13" s="125" t="s">
        <v>656</v>
      </c>
      <c r="B13" s="414">
        <v>0</v>
      </c>
    </row>
    <row r="14" spans="1:3" x14ac:dyDescent="0.2">
      <c r="A14" s="125" t="s">
        <v>605</v>
      </c>
      <c r="B14" s="414">
        <v>36625642</v>
      </c>
    </row>
    <row r="15" spans="1:3" x14ac:dyDescent="0.2">
      <c r="A15" s="125" t="s">
        <v>615</v>
      </c>
      <c r="B15" s="414">
        <v>1681600</v>
      </c>
    </row>
    <row r="16" spans="1:3" x14ac:dyDescent="0.2">
      <c r="A16" s="557" t="s">
        <v>588</v>
      </c>
      <c r="B16" s="560">
        <f>B5+B6+B11+B13+B12+B14+B15</f>
        <v>205364731</v>
      </c>
      <c r="C16" s="727" t="s">
        <v>515</v>
      </c>
    </row>
    <row r="17" spans="1:3" x14ac:dyDescent="0.2">
      <c r="A17" s="125"/>
      <c r="B17" s="414"/>
      <c r="C17" s="727"/>
    </row>
    <row r="18" spans="1:3" x14ac:dyDescent="0.2">
      <c r="A18" s="125" t="s">
        <v>591</v>
      </c>
      <c r="B18" s="558">
        <f>SUM(B19:B24)</f>
        <v>57064767</v>
      </c>
      <c r="C18" s="727"/>
    </row>
    <row r="19" spans="1:3" x14ac:dyDescent="0.2">
      <c r="A19" s="125" t="s">
        <v>616</v>
      </c>
      <c r="B19" s="559">
        <v>27686167</v>
      </c>
      <c r="C19" s="727"/>
    </row>
    <row r="20" spans="1:3" x14ac:dyDescent="0.2">
      <c r="A20" s="125" t="s">
        <v>617</v>
      </c>
      <c r="B20" s="559">
        <v>8820000</v>
      </c>
      <c r="C20" s="727"/>
    </row>
    <row r="21" spans="1:3" x14ac:dyDescent="0.2">
      <c r="A21" s="125" t="s">
        <v>618</v>
      </c>
      <c r="B21" s="559">
        <v>13114500</v>
      </c>
      <c r="C21" s="727"/>
    </row>
    <row r="22" spans="1:3" x14ac:dyDescent="0.2">
      <c r="A22" s="125" t="s">
        <v>619</v>
      </c>
      <c r="B22" s="559">
        <v>4410000</v>
      </c>
      <c r="C22" s="727"/>
    </row>
    <row r="23" spans="1:3" ht="22.5" x14ac:dyDescent="0.2">
      <c r="A23" s="125" t="s">
        <v>620</v>
      </c>
      <c r="B23" s="559">
        <v>1586800</v>
      </c>
      <c r="C23" s="727"/>
    </row>
    <row r="24" spans="1:3" ht="22.5" x14ac:dyDescent="0.2">
      <c r="A24" s="125" t="s">
        <v>657</v>
      </c>
      <c r="B24" s="559">
        <v>1447300</v>
      </c>
      <c r="C24" s="727"/>
    </row>
    <row r="25" spans="1:3" x14ac:dyDescent="0.2">
      <c r="A25" s="125" t="s">
        <v>592</v>
      </c>
      <c r="B25" s="558">
        <f>SUM(B26:B27)</f>
        <v>10129600</v>
      </c>
      <c r="C25" s="727"/>
    </row>
    <row r="26" spans="1:3" x14ac:dyDescent="0.2">
      <c r="A26" s="125" t="s">
        <v>589</v>
      </c>
      <c r="B26" s="414">
        <v>6882933</v>
      </c>
      <c r="C26" s="727"/>
    </row>
    <row r="27" spans="1:3" x14ac:dyDescent="0.2">
      <c r="A27" s="125" t="s">
        <v>590</v>
      </c>
      <c r="B27" s="414">
        <v>3246667</v>
      </c>
      <c r="C27" s="727"/>
    </row>
    <row r="28" spans="1:3" x14ac:dyDescent="0.2">
      <c r="A28" s="557" t="s">
        <v>593</v>
      </c>
      <c r="B28" s="560">
        <f>B18+B25</f>
        <v>67194367</v>
      </c>
      <c r="C28" s="727"/>
    </row>
    <row r="29" spans="1:3" x14ac:dyDescent="0.2">
      <c r="A29" s="557"/>
      <c r="B29" s="414"/>
      <c r="C29" s="727"/>
    </row>
    <row r="30" spans="1:3" x14ac:dyDescent="0.2">
      <c r="A30" s="125" t="s">
        <v>594</v>
      </c>
      <c r="B30" s="414">
        <v>52999793</v>
      </c>
      <c r="C30" s="727"/>
    </row>
    <row r="31" spans="1:3" x14ac:dyDescent="0.2">
      <c r="A31" s="125" t="s">
        <v>595</v>
      </c>
      <c r="B31" s="414">
        <v>13600000</v>
      </c>
      <c r="C31" s="727"/>
    </row>
    <row r="32" spans="1:3" x14ac:dyDescent="0.2">
      <c r="A32" s="125" t="s">
        <v>596</v>
      </c>
      <c r="B32" s="414">
        <v>23100000</v>
      </c>
      <c r="C32" s="727"/>
    </row>
    <row r="33" spans="1:3" x14ac:dyDescent="0.2">
      <c r="A33" s="125" t="s">
        <v>658</v>
      </c>
      <c r="B33" s="414">
        <v>11357578</v>
      </c>
      <c r="C33" s="727"/>
    </row>
    <row r="34" spans="1:3" x14ac:dyDescent="0.2">
      <c r="A34" s="125" t="s">
        <v>597</v>
      </c>
      <c r="B34" s="414">
        <v>27949000</v>
      </c>
      <c r="C34" s="727"/>
    </row>
    <row r="35" spans="1:3" x14ac:dyDescent="0.2">
      <c r="A35" s="125" t="s">
        <v>598</v>
      </c>
      <c r="B35" s="414">
        <v>44522587</v>
      </c>
      <c r="C35" s="727"/>
    </row>
    <row r="36" spans="1:3" x14ac:dyDescent="0.2">
      <c r="A36" s="126" t="s">
        <v>599</v>
      </c>
      <c r="B36" s="414">
        <v>5491950</v>
      </c>
      <c r="C36" s="727"/>
    </row>
    <row r="37" spans="1:3" ht="21" x14ac:dyDescent="0.2">
      <c r="A37" s="561" t="s">
        <v>600</v>
      </c>
      <c r="B37" s="560">
        <f>SUM(B30:B36)</f>
        <v>179020908</v>
      </c>
      <c r="C37" s="727"/>
    </row>
    <row r="38" spans="1:3" x14ac:dyDescent="0.2">
      <c r="A38" s="126"/>
      <c r="B38" s="414"/>
      <c r="C38" s="727"/>
    </row>
    <row r="39" spans="1:3" ht="21.75" thickBot="1" x14ac:dyDescent="0.25">
      <c r="A39" s="561" t="s">
        <v>601</v>
      </c>
      <c r="B39" s="560">
        <v>8433700</v>
      </c>
      <c r="C39" s="727"/>
    </row>
    <row r="40" spans="1:3" s="53" customFormat="1" ht="19.5" customHeight="1" thickBot="1" x14ac:dyDescent="0.25">
      <c r="A40" s="36" t="s">
        <v>50</v>
      </c>
      <c r="B40" s="52">
        <f>B16+B28+B37+B39</f>
        <v>460013706</v>
      </c>
      <c r="C40" s="727"/>
    </row>
  </sheetData>
  <mergeCells count="2">
    <mergeCell ref="A1:B1"/>
    <mergeCell ref="C16:C40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0"/>
  <sheetViews>
    <sheetView zoomScaleNormal="100" workbookViewId="0">
      <selection activeCell="B4" sqref="B4:D15"/>
    </sheetView>
  </sheetViews>
  <sheetFormatPr defaultRowHeight="12.75" x14ac:dyDescent="0.2"/>
  <cols>
    <col min="1" max="1" width="6.6640625" customWidth="1"/>
    <col min="2" max="2" width="43.33203125" customWidth="1"/>
    <col min="3" max="3" width="31.1640625" customWidth="1"/>
    <col min="4" max="4" width="14.83203125" customWidth="1"/>
  </cols>
  <sheetData>
    <row r="1" spans="1:4" ht="45" customHeight="1" x14ac:dyDescent="0.25">
      <c r="A1" s="731" t="str">
        <f>+CONCATENATE("K I M U T A T Á S",CHAR(10),"a ",LEFT(ÖSSZEFÜGGÉSEK!A5,4),". évben céljelleggel juttatott támogatásokról")</f>
        <v>K I M U T A T Á S
a 2019. évben céljelleggel juttatott támogatásokról</v>
      </c>
      <c r="B1" s="731"/>
      <c r="C1" s="731"/>
      <c r="D1" s="731"/>
    </row>
    <row r="2" spans="1:4" ht="17.25" customHeight="1" x14ac:dyDescent="0.25">
      <c r="A2" s="380"/>
      <c r="B2" s="380"/>
      <c r="C2" s="380"/>
      <c r="D2" s="380"/>
    </row>
    <row r="3" spans="1:4" ht="13.5" thickBot="1" x14ac:dyDescent="0.25">
      <c r="A3" s="216"/>
      <c r="B3" s="216"/>
      <c r="C3" s="728" t="s">
        <v>562</v>
      </c>
      <c r="D3" s="728"/>
    </row>
    <row r="4" spans="1:4" ht="42.75" customHeight="1" thickBot="1" x14ac:dyDescent="0.25">
      <c r="A4" s="384" t="s">
        <v>66</v>
      </c>
      <c r="B4" s="385" t="s">
        <v>119</v>
      </c>
      <c r="C4" s="385" t="s">
        <v>120</v>
      </c>
      <c r="D4" s="386" t="s">
        <v>11</v>
      </c>
    </row>
    <row r="5" spans="1:4" ht="18.75" customHeight="1" x14ac:dyDescent="0.2">
      <c r="A5" s="217" t="s">
        <v>15</v>
      </c>
      <c r="B5" s="580" t="s">
        <v>638</v>
      </c>
      <c r="C5" s="584" t="s">
        <v>566</v>
      </c>
      <c r="D5" s="29">
        <v>19000000</v>
      </c>
    </row>
    <row r="6" spans="1:4" ht="17.25" customHeight="1" x14ac:dyDescent="0.2">
      <c r="A6" s="218" t="s">
        <v>16</v>
      </c>
      <c r="B6" s="582" t="s">
        <v>640</v>
      </c>
      <c r="C6" s="30" t="s">
        <v>566</v>
      </c>
      <c r="D6" s="583">
        <v>1000000</v>
      </c>
    </row>
    <row r="7" spans="1:4" ht="15.95" customHeight="1" x14ac:dyDescent="0.2">
      <c r="A7" s="218" t="s">
        <v>17</v>
      </c>
      <c r="B7" s="30" t="s">
        <v>564</v>
      </c>
      <c r="C7" s="30" t="s">
        <v>566</v>
      </c>
      <c r="D7" s="31">
        <v>200000</v>
      </c>
    </row>
    <row r="8" spans="1:4" ht="15.95" customHeight="1" x14ac:dyDescent="0.2">
      <c r="A8" s="218" t="s">
        <v>18</v>
      </c>
      <c r="B8" s="30" t="s">
        <v>565</v>
      </c>
      <c r="C8" s="30" t="s">
        <v>566</v>
      </c>
      <c r="D8" s="31">
        <v>300000</v>
      </c>
    </row>
    <row r="9" spans="1:4" ht="15.95" customHeight="1" x14ac:dyDescent="0.2">
      <c r="A9" s="218" t="s">
        <v>19</v>
      </c>
      <c r="B9" s="30" t="s">
        <v>567</v>
      </c>
      <c r="C9" s="540" t="s">
        <v>566</v>
      </c>
      <c r="D9" s="31">
        <v>3000000</v>
      </c>
    </row>
    <row r="10" spans="1:4" ht="15.95" customHeight="1" x14ac:dyDescent="0.2">
      <c r="A10" s="218" t="s">
        <v>20</v>
      </c>
      <c r="B10" s="30" t="s">
        <v>641</v>
      </c>
      <c r="C10" s="540" t="s">
        <v>566</v>
      </c>
      <c r="D10" s="31">
        <v>250000</v>
      </c>
    </row>
    <row r="11" spans="1:4" ht="15.95" customHeight="1" x14ac:dyDescent="0.2">
      <c r="A11" s="218" t="s">
        <v>21</v>
      </c>
      <c r="B11" s="30" t="s">
        <v>621</v>
      </c>
      <c r="C11" s="540" t="s">
        <v>566</v>
      </c>
      <c r="D11" s="31">
        <v>50000</v>
      </c>
    </row>
    <row r="12" spans="1:4" ht="15.95" customHeight="1" x14ac:dyDescent="0.2">
      <c r="A12" s="218" t="s">
        <v>22</v>
      </c>
      <c r="B12" s="30" t="s">
        <v>622</v>
      </c>
      <c r="C12" s="540" t="s">
        <v>566</v>
      </c>
      <c r="D12" s="31">
        <v>100000</v>
      </c>
    </row>
    <row r="13" spans="1:4" ht="15.95" customHeight="1" x14ac:dyDescent="0.2">
      <c r="A13" s="218" t="s">
        <v>23</v>
      </c>
      <c r="B13" s="30" t="s">
        <v>623</v>
      </c>
      <c r="C13" s="540" t="s">
        <v>566</v>
      </c>
      <c r="D13" s="31">
        <v>100000</v>
      </c>
    </row>
    <row r="14" spans="1:4" ht="15.95" customHeight="1" x14ac:dyDescent="0.2">
      <c r="A14" s="218" t="s">
        <v>24</v>
      </c>
      <c r="B14" s="30" t="s">
        <v>624</v>
      </c>
      <c r="C14" s="540" t="s">
        <v>566</v>
      </c>
      <c r="D14" s="31">
        <v>1000000</v>
      </c>
    </row>
    <row r="15" spans="1:4" ht="15.95" customHeight="1" x14ac:dyDescent="0.2">
      <c r="A15" s="218" t="s">
        <v>25</v>
      </c>
      <c r="B15" s="30" t="s">
        <v>636</v>
      </c>
      <c r="C15" s="30" t="s">
        <v>625</v>
      </c>
      <c r="D15" s="31">
        <v>1300000</v>
      </c>
    </row>
    <row r="16" spans="1:4" ht="15.95" customHeight="1" x14ac:dyDescent="0.2">
      <c r="A16" s="218" t="s">
        <v>26</v>
      </c>
      <c r="B16" s="30"/>
      <c r="C16" s="30"/>
      <c r="D16" s="31"/>
    </row>
    <row r="17" spans="1:4" ht="15.95" customHeight="1" x14ac:dyDescent="0.2">
      <c r="A17" s="218" t="s">
        <v>27</v>
      </c>
      <c r="B17" s="30"/>
      <c r="C17" s="30"/>
      <c r="D17" s="31"/>
    </row>
    <row r="18" spans="1:4" ht="15.95" customHeight="1" x14ac:dyDescent="0.2">
      <c r="A18" s="218" t="s">
        <v>28</v>
      </c>
      <c r="B18" s="30"/>
      <c r="C18" s="30"/>
      <c r="D18" s="31"/>
    </row>
    <row r="19" spans="1:4" ht="15.95" customHeight="1" x14ac:dyDescent="0.2">
      <c r="A19" s="218" t="s">
        <v>29</v>
      </c>
      <c r="B19" s="30"/>
      <c r="C19" s="30"/>
      <c r="D19" s="31"/>
    </row>
    <row r="20" spans="1:4" ht="15.95" customHeight="1" x14ac:dyDescent="0.2">
      <c r="A20" s="218" t="s">
        <v>30</v>
      </c>
      <c r="B20" s="30"/>
      <c r="C20" s="30"/>
      <c r="D20" s="31"/>
    </row>
    <row r="21" spans="1:4" ht="15.95" customHeight="1" x14ac:dyDescent="0.2">
      <c r="A21" s="218" t="s">
        <v>31</v>
      </c>
      <c r="B21" s="30"/>
      <c r="C21" s="30"/>
      <c r="D21" s="31"/>
    </row>
    <row r="22" spans="1:4" ht="15.95" customHeight="1" x14ac:dyDescent="0.2">
      <c r="A22" s="218" t="s">
        <v>32</v>
      </c>
      <c r="B22" s="30"/>
      <c r="C22" s="30"/>
      <c r="D22" s="31"/>
    </row>
    <row r="23" spans="1:4" ht="15.95" customHeight="1" x14ac:dyDescent="0.2">
      <c r="A23" s="218" t="s">
        <v>33</v>
      </c>
      <c r="B23" s="30"/>
      <c r="C23" s="30"/>
      <c r="D23" s="31"/>
    </row>
    <row r="24" spans="1:4" ht="15.95" customHeight="1" x14ac:dyDescent="0.2">
      <c r="A24" s="218" t="s">
        <v>34</v>
      </c>
      <c r="B24" s="30"/>
      <c r="C24" s="30"/>
      <c r="D24" s="31"/>
    </row>
    <row r="25" spans="1:4" ht="15.95" customHeight="1" x14ac:dyDescent="0.2">
      <c r="A25" s="218" t="s">
        <v>35</v>
      </c>
      <c r="B25" s="30"/>
      <c r="C25" s="30"/>
      <c r="D25" s="31"/>
    </row>
    <row r="26" spans="1:4" ht="15.95" customHeight="1" x14ac:dyDescent="0.2">
      <c r="A26" s="218" t="s">
        <v>36</v>
      </c>
      <c r="B26" s="30"/>
      <c r="C26" s="30"/>
      <c r="D26" s="31"/>
    </row>
    <row r="27" spans="1:4" ht="15.95" customHeight="1" x14ac:dyDescent="0.2">
      <c r="A27" s="218" t="s">
        <v>37</v>
      </c>
      <c r="B27" s="30"/>
      <c r="C27" s="30"/>
      <c r="D27" s="31"/>
    </row>
    <row r="28" spans="1:4" ht="15.95" customHeight="1" x14ac:dyDescent="0.2">
      <c r="A28" s="218" t="s">
        <v>38</v>
      </c>
      <c r="B28" s="30"/>
      <c r="C28" s="30"/>
      <c r="D28" s="31"/>
    </row>
    <row r="29" spans="1:4" ht="15.95" customHeight="1" x14ac:dyDescent="0.2">
      <c r="A29" s="218" t="s">
        <v>39</v>
      </c>
      <c r="B29" s="30"/>
      <c r="C29" s="30"/>
      <c r="D29" s="31"/>
    </row>
    <row r="30" spans="1:4" ht="15.95" customHeight="1" x14ac:dyDescent="0.2">
      <c r="A30" s="218" t="s">
        <v>40</v>
      </c>
      <c r="B30" s="30"/>
      <c r="C30" s="30"/>
      <c r="D30" s="31"/>
    </row>
    <row r="31" spans="1:4" ht="15.95" customHeight="1" x14ac:dyDescent="0.2">
      <c r="A31" s="218" t="s">
        <v>41</v>
      </c>
      <c r="B31" s="30"/>
      <c r="C31" s="30"/>
      <c r="D31" s="31"/>
    </row>
    <row r="32" spans="1:4" ht="15.95" customHeight="1" x14ac:dyDescent="0.2">
      <c r="A32" s="218" t="s">
        <v>42</v>
      </c>
      <c r="B32" s="30"/>
      <c r="C32" s="30"/>
      <c r="D32" s="31"/>
    </row>
    <row r="33" spans="1:4" ht="15.95" customHeight="1" x14ac:dyDescent="0.2">
      <c r="A33" s="218" t="s">
        <v>43</v>
      </c>
      <c r="B33" s="30"/>
      <c r="C33" s="30"/>
      <c r="D33" s="31"/>
    </row>
    <row r="34" spans="1:4" ht="15.95" customHeight="1" x14ac:dyDescent="0.2">
      <c r="A34" s="218" t="s">
        <v>121</v>
      </c>
      <c r="B34" s="30"/>
      <c r="C34" s="30"/>
      <c r="D34" s="31"/>
    </row>
    <row r="35" spans="1:4" ht="15.95" customHeight="1" x14ac:dyDescent="0.2">
      <c r="A35" s="218" t="s">
        <v>122</v>
      </c>
      <c r="B35" s="30"/>
      <c r="C35" s="30"/>
      <c r="D35" s="87"/>
    </row>
    <row r="36" spans="1:4" ht="15.95" customHeight="1" x14ac:dyDescent="0.2">
      <c r="A36" s="218" t="s">
        <v>123</v>
      </c>
      <c r="B36" s="30"/>
      <c r="C36" s="30"/>
      <c r="D36" s="87"/>
    </row>
    <row r="37" spans="1:4" ht="15.95" customHeight="1" x14ac:dyDescent="0.2">
      <c r="A37" s="218" t="s">
        <v>124</v>
      </c>
      <c r="B37" s="30"/>
      <c r="C37" s="30"/>
      <c r="D37" s="87"/>
    </row>
    <row r="38" spans="1:4" ht="15.95" customHeight="1" thickBot="1" x14ac:dyDescent="0.25">
      <c r="A38" s="219" t="s">
        <v>639</v>
      </c>
      <c r="B38" s="32"/>
      <c r="C38" s="32"/>
      <c r="D38" s="88"/>
    </row>
    <row r="39" spans="1:4" ht="15.95" customHeight="1" thickBot="1" x14ac:dyDescent="0.25">
      <c r="A39" s="729" t="s">
        <v>50</v>
      </c>
      <c r="B39" s="730"/>
      <c r="C39" s="220"/>
      <c r="D39" s="221">
        <f>SUM(D5:D38)</f>
        <v>26300000</v>
      </c>
    </row>
    <row r="40" spans="1:4" x14ac:dyDescent="0.2">
      <c r="A40" t="s">
        <v>191</v>
      </c>
    </row>
  </sheetData>
  <mergeCells count="3">
    <mergeCell ref="C3:D3"/>
    <mergeCell ref="A39:B39"/>
    <mergeCell ref="A1:D1"/>
  </mergeCells>
  <phoneticPr fontId="30" type="noConversion"/>
  <conditionalFormatting sqref="D39">
    <cfRule type="cellIs" dxfId="0" priority="1" stopIfTrue="1" operator="equal">
      <formula>0</formula>
    </cfRule>
  </conditionalFormatting>
  <printOptions horizontalCentered="1"/>
  <pageMargins left="0.78740157480314965" right="0.78740157480314965" top="1.06" bottom="0.98425196850393704" header="0.78740157480314965" footer="0.78740157480314965"/>
  <pageSetup paperSize="9" scale="95" orientation="portrait" r:id="rId1"/>
  <headerFooter alignWithMargins="0">
    <oddHeader>&amp;R&amp;"Times New Roman CE,Félkövér dőlt"&amp;11 6. tájékoztató tábla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8"/>
  <sheetViews>
    <sheetView view="pageLayout" zoomScaleNormal="100" zoomScaleSheetLayoutView="100" workbookViewId="0">
      <selection activeCell="B16" sqref="B16"/>
    </sheetView>
  </sheetViews>
  <sheetFormatPr defaultColWidth="9.33203125" defaultRowHeight="15.75" x14ac:dyDescent="0.25"/>
  <cols>
    <col min="1" max="1" width="9" style="388" customWidth="1"/>
    <col min="2" max="2" width="66.33203125" style="388" bestFit="1" customWidth="1"/>
    <col min="3" max="3" width="15.5" style="389" customWidth="1"/>
    <col min="4" max="5" width="15.5" style="388" customWidth="1"/>
    <col min="6" max="6" width="9" style="422" customWidth="1"/>
    <col min="7" max="16384" width="9.33203125" style="422"/>
  </cols>
  <sheetData>
    <row r="1" spans="1:5" ht="15.95" customHeight="1" x14ac:dyDescent="0.25">
      <c r="A1" s="675" t="s">
        <v>12</v>
      </c>
      <c r="B1" s="675"/>
      <c r="C1" s="675"/>
      <c r="D1" s="675"/>
      <c r="E1" s="675"/>
    </row>
    <row r="2" spans="1:5" ht="15.95" customHeight="1" thickBot="1" x14ac:dyDescent="0.3">
      <c r="A2" s="676" t="s">
        <v>145</v>
      </c>
      <c r="B2" s="676"/>
      <c r="D2" s="147"/>
      <c r="E2" s="306" t="s">
        <v>215</v>
      </c>
    </row>
    <row r="3" spans="1:5" ht="38.1" customHeight="1" thickBot="1" x14ac:dyDescent="0.3">
      <c r="A3" s="23" t="s">
        <v>66</v>
      </c>
      <c r="B3" s="24" t="s">
        <v>14</v>
      </c>
      <c r="C3" s="24" t="str">
        <f>+CONCATENATE(LEFT(ÖSSZEFÜGGÉSEK!A5,4)+1,". évi")</f>
        <v>2020. évi</v>
      </c>
      <c r="D3" s="413" t="str">
        <f>+CONCATENATE(LEFT(ÖSSZEFÜGGÉSEK!A5,4)+2,". évi")</f>
        <v>2021. évi</v>
      </c>
      <c r="E3" s="168" t="str">
        <f>+CONCATENATE(LEFT(ÖSSZEFÜGGÉSEK!A5,4)+3,". évi")</f>
        <v>2022. évi</v>
      </c>
    </row>
    <row r="4" spans="1:5" s="423" customFormat="1" ht="12" customHeight="1" thickBot="1" x14ac:dyDescent="0.25">
      <c r="A4" s="33" t="s">
        <v>484</v>
      </c>
      <c r="B4" s="34" t="s">
        <v>485</v>
      </c>
      <c r="C4" s="34" t="s">
        <v>486</v>
      </c>
      <c r="D4" s="34" t="s">
        <v>488</v>
      </c>
      <c r="E4" s="457" t="s">
        <v>487</v>
      </c>
    </row>
    <row r="5" spans="1:5" s="424" customFormat="1" ht="12" customHeight="1" thickBot="1" x14ac:dyDescent="0.25">
      <c r="A5" s="20" t="s">
        <v>15</v>
      </c>
      <c r="B5" s="21" t="s">
        <v>519</v>
      </c>
      <c r="C5" s="475">
        <v>1190417</v>
      </c>
      <c r="D5" s="475">
        <v>1380884</v>
      </c>
      <c r="E5" s="476">
        <v>1380900</v>
      </c>
    </row>
    <row r="6" spans="1:5" s="424" customFormat="1" ht="12" customHeight="1" thickBot="1" x14ac:dyDescent="0.25">
      <c r="A6" s="20" t="s">
        <v>16</v>
      </c>
      <c r="B6" s="291" t="s">
        <v>366</v>
      </c>
      <c r="C6" s="475">
        <v>103000</v>
      </c>
      <c r="D6" s="475">
        <v>116348</v>
      </c>
      <c r="E6" s="476">
        <v>117150</v>
      </c>
    </row>
    <row r="7" spans="1:5" s="424" customFormat="1" ht="12" customHeight="1" thickBot="1" x14ac:dyDescent="0.25">
      <c r="A7" s="20" t="s">
        <v>17</v>
      </c>
      <c r="B7" s="21" t="s">
        <v>374</v>
      </c>
      <c r="C7" s="475">
        <v>98670</v>
      </c>
      <c r="D7" s="475">
        <v>114457</v>
      </c>
      <c r="E7" s="476">
        <v>114500</v>
      </c>
    </row>
    <row r="8" spans="1:5" s="424" customFormat="1" ht="12" customHeight="1" thickBot="1" x14ac:dyDescent="0.25">
      <c r="A8" s="20" t="s">
        <v>162</v>
      </c>
      <c r="B8" s="21" t="s">
        <v>255</v>
      </c>
      <c r="C8" s="412">
        <v>97011</v>
      </c>
      <c r="D8" s="412">
        <v>97011</v>
      </c>
      <c r="E8" s="456">
        <v>97500</v>
      </c>
    </row>
    <row r="9" spans="1:5" s="424" customFormat="1" ht="12" customHeight="1" x14ac:dyDescent="0.2">
      <c r="A9" s="15" t="s">
        <v>256</v>
      </c>
      <c r="B9" s="425" t="s">
        <v>543</v>
      </c>
      <c r="C9" s="407"/>
      <c r="D9" s="407">
        <f>+D10+D11+D12</f>
        <v>0</v>
      </c>
      <c r="E9" s="280">
        <f>+E10+E11+E12</f>
        <v>0</v>
      </c>
    </row>
    <row r="10" spans="1:5" s="424" customFormat="1" ht="12" customHeight="1" x14ac:dyDescent="0.2">
      <c r="A10" s="14" t="s">
        <v>257</v>
      </c>
      <c r="B10" s="426" t="s">
        <v>544</v>
      </c>
      <c r="C10" s="406"/>
      <c r="D10" s="406"/>
      <c r="E10" s="279"/>
    </row>
    <row r="11" spans="1:5" s="424" customFormat="1" ht="12" customHeight="1" x14ac:dyDescent="0.2">
      <c r="A11" s="14" t="s">
        <v>258</v>
      </c>
      <c r="B11" s="426" t="s">
        <v>545</v>
      </c>
      <c r="C11" s="406"/>
      <c r="D11" s="406"/>
      <c r="E11" s="279"/>
    </row>
    <row r="12" spans="1:5" s="424" customFormat="1" ht="12" customHeight="1" x14ac:dyDescent="0.2">
      <c r="A12" s="14" t="s">
        <v>259</v>
      </c>
      <c r="B12" s="426" t="s">
        <v>546</v>
      </c>
      <c r="C12" s="406"/>
      <c r="D12" s="406"/>
      <c r="E12" s="279"/>
    </row>
    <row r="13" spans="1:5" s="424" customFormat="1" ht="12" customHeight="1" x14ac:dyDescent="0.2">
      <c r="A13" s="14" t="s">
        <v>540</v>
      </c>
      <c r="B13" s="426" t="s">
        <v>260</v>
      </c>
      <c r="C13" s="406"/>
      <c r="D13" s="406"/>
      <c r="E13" s="279"/>
    </row>
    <row r="14" spans="1:5" s="424" customFormat="1" ht="12" customHeight="1" x14ac:dyDescent="0.2">
      <c r="A14" s="14" t="s">
        <v>541</v>
      </c>
      <c r="B14" s="426" t="s">
        <v>261</v>
      </c>
      <c r="C14" s="406"/>
      <c r="D14" s="406"/>
      <c r="E14" s="279"/>
    </row>
    <row r="15" spans="1:5" s="424" customFormat="1" ht="12" customHeight="1" thickBot="1" x14ac:dyDescent="0.25">
      <c r="A15" s="16" t="s">
        <v>542</v>
      </c>
      <c r="B15" s="427" t="s">
        <v>262</v>
      </c>
      <c r="C15" s="408"/>
      <c r="D15" s="408"/>
      <c r="E15" s="281"/>
    </row>
    <row r="16" spans="1:5" s="424" customFormat="1" ht="12" customHeight="1" thickBot="1" x14ac:dyDescent="0.25">
      <c r="A16" s="20" t="s">
        <v>19</v>
      </c>
      <c r="B16" s="21" t="s">
        <v>522</v>
      </c>
      <c r="C16" s="475">
        <v>154866</v>
      </c>
      <c r="D16" s="475">
        <v>179645</v>
      </c>
      <c r="E16" s="476">
        <v>180324</v>
      </c>
    </row>
    <row r="17" spans="1:6" s="424" customFormat="1" ht="12" customHeight="1" thickBot="1" x14ac:dyDescent="0.25">
      <c r="A17" s="20" t="s">
        <v>20</v>
      </c>
      <c r="B17" s="21" t="s">
        <v>6</v>
      </c>
      <c r="C17" s="475">
        <v>18000</v>
      </c>
      <c r="D17" s="475">
        <v>20880</v>
      </c>
      <c r="E17" s="476">
        <v>22000</v>
      </c>
    </row>
    <row r="18" spans="1:6" s="424" customFormat="1" ht="12" customHeight="1" thickBot="1" x14ac:dyDescent="0.25">
      <c r="A18" s="20" t="s">
        <v>169</v>
      </c>
      <c r="B18" s="21" t="s">
        <v>521</v>
      </c>
      <c r="C18" s="475">
        <v>34500</v>
      </c>
      <c r="D18" s="475">
        <v>38900</v>
      </c>
      <c r="E18" s="476">
        <v>39800</v>
      </c>
    </row>
    <row r="19" spans="1:6" s="424" customFormat="1" ht="12" customHeight="1" thickBot="1" x14ac:dyDescent="0.25">
      <c r="A19" s="20" t="s">
        <v>22</v>
      </c>
      <c r="B19" s="291" t="s">
        <v>520</v>
      </c>
      <c r="C19" s="475">
        <v>22387</v>
      </c>
      <c r="D19" s="475">
        <v>25969</v>
      </c>
      <c r="E19" s="476">
        <v>26200</v>
      </c>
    </row>
    <row r="20" spans="1:6" s="424" customFormat="1" ht="12" customHeight="1" thickBot="1" x14ac:dyDescent="0.25">
      <c r="A20" s="20" t="s">
        <v>23</v>
      </c>
      <c r="B20" s="21" t="s">
        <v>295</v>
      </c>
      <c r="C20" s="412">
        <v>1718851</v>
      </c>
      <c r="D20" s="412">
        <f>+D5+D6+D7+D8+D16+D17+D18+D19</f>
        <v>1974094</v>
      </c>
      <c r="E20" s="302">
        <f>+E5+E6+E7+E8+E16+E17+E18+E19</f>
        <v>1978374</v>
      </c>
    </row>
    <row r="21" spans="1:6" s="424" customFormat="1" ht="12" customHeight="1" thickBot="1" x14ac:dyDescent="0.25">
      <c r="A21" s="20" t="s">
        <v>24</v>
      </c>
      <c r="B21" s="21" t="s">
        <v>523</v>
      </c>
      <c r="C21" s="518">
        <v>83000</v>
      </c>
      <c r="D21" s="518">
        <v>83201</v>
      </c>
      <c r="E21" s="519">
        <v>83201</v>
      </c>
    </row>
    <row r="22" spans="1:6" s="424" customFormat="1" ht="12" customHeight="1" thickBot="1" x14ac:dyDescent="0.25">
      <c r="A22" s="20" t="s">
        <v>25</v>
      </c>
      <c r="B22" s="21" t="s">
        <v>524</v>
      </c>
      <c r="C22" s="412">
        <f>+C20+C21</f>
        <v>1801851</v>
      </c>
      <c r="D22" s="412">
        <f>+D20+D21</f>
        <v>2057295</v>
      </c>
      <c r="E22" s="456">
        <f>+E20+E21</f>
        <v>2061575</v>
      </c>
    </row>
    <row r="23" spans="1:6" s="424" customFormat="1" ht="12" customHeight="1" x14ac:dyDescent="0.2">
      <c r="A23" s="374"/>
      <c r="B23" s="375"/>
      <c r="C23" s="376"/>
      <c r="D23" s="515"/>
      <c r="E23" s="516"/>
    </row>
    <row r="24" spans="1:6" s="424" customFormat="1" ht="12" customHeight="1" x14ac:dyDescent="0.2">
      <c r="A24" s="675" t="s">
        <v>44</v>
      </c>
      <c r="B24" s="675"/>
      <c r="C24" s="675"/>
      <c r="D24" s="675"/>
      <c r="E24" s="675"/>
    </row>
    <row r="25" spans="1:6" s="424" customFormat="1" ht="12" customHeight="1" thickBot="1" x14ac:dyDescent="0.25">
      <c r="A25" s="677" t="s">
        <v>146</v>
      </c>
      <c r="B25" s="677"/>
      <c r="C25" s="389"/>
      <c r="D25" s="147"/>
      <c r="E25" s="306" t="s">
        <v>215</v>
      </c>
    </row>
    <row r="26" spans="1:6" s="424" customFormat="1" ht="24" customHeight="1" thickBot="1" x14ac:dyDescent="0.25">
      <c r="A26" s="23" t="s">
        <v>13</v>
      </c>
      <c r="B26" s="24" t="s">
        <v>45</v>
      </c>
      <c r="C26" s="24" t="str">
        <f>+C3</f>
        <v>2020. évi</v>
      </c>
      <c r="D26" s="24" t="str">
        <f>+D3</f>
        <v>2021. évi</v>
      </c>
      <c r="E26" s="168" t="str">
        <f>+E3</f>
        <v>2022. évi</v>
      </c>
      <c r="F26" s="517"/>
    </row>
    <row r="27" spans="1:6" s="424" customFormat="1" ht="12" customHeight="1" thickBot="1" x14ac:dyDescent="0.25">
      <c r="A27" s="417" t="s">
        <v>484</v>
      </c>
      <c r="B27" s="418" t="s">
        <v>485</v>
      </c>
      <c r="C27" s="418" t="s">
        <v>486</v>
      </c>
      <c r="D27" s="418" t="s">
        <v>488</v>
      </c>
      <c r="E27" s="511" t="s">
        <v>487</v>
      </c>
      <c r="F27" s="517"/>
    </row>
    <row r="28" spans="1:6" s="424" customFormat="1" ht="15" customHeight="1" thickBot="1" x14ac:dyDescent="0.25">
      <c r="A28" s="20" t="s">
        <v>15</v>
      </c>
      <c r="B28" s="27" t="s">
        <v>525</v>
      </c>
      <c r="C28" s="475">
        <v>1538623</v>
      </c>
      <c r="D28" s="475">
        <v>1784803</v>
      </c>
      <c r="E28" s="471">
        <v>1785784</v>
      </c>
      <c r="F28" s="517"/>
    </row>
    <row r="29" spans="1:6" ht="12" customHeight="1" thickBot="1" x14ac:dyDescent="0.3">
      <c r="A29" s="489" t="s">
        <v>16</v>
      </c>
      <c r="B29" s="512" t="s">
        <v>530</v>
      </c>
      <c r="C29" s="513">
        <f>+C30+C31+C32</f>
        <v>87338</v>
      </c>
      <c r="D29" s="513">
        <f>+D30+D31+D32</f>
        <v>101312</v>
      </c>
      <c r="E29" s="514">
        <f>+E30+E31+E32</f>
        <v>102900</v>
      </c>
    </row>
    <row r="30" spans="1:6" ht="12" customHeight="1" x14ac:dyDescent="0.25">
      <c r="A30" s="15" t="s">
        <v>98</v>
      </c>
      <c r="B30" s="8" t="s">
        <v>214</v>
      </c>
      <c r="C30" s="407">
        <v>62700</v>
      </c>
      <c r="D30" s="407">
        <v>72732</v>
      </c>
      <c r="E30" s="280">
        <v>73800</v>
      </c>
    </row>
    <row r="31" spans="1:6" ht="12" customHeight="1" x14ac:dyDescent="0.25">
      <c r="A31" s="15" t="s">
        <v>99</v>
      </c>
      <c r="B31" s="12" t="s">
        <v>176</v>
      </c>
      <c r="C31" s="406">
        <v>16142</v>
      </c>
      <c r="D31" s="406">
        <v>18725</v>
      </c>
      <c r="E31" s="279">
        <v>19100</v>
      </c>
    </row>
    <row r="32" spans="1:6" ht="12" customHeight="1" thickBot="1" x14ac:dyDescent="0.3">
      <c r="A32" s="15" t="s">
        <v>100</v>
      </c>
      <c r="B32" s="293" t="s">
        <v>217</v>
      </c>
      <c r="C32" s="406">
        <v>8496</v>
      </c>
      <c r="D32" s="406">
        <v>9855</v>
      </c>
      <c r="E32" s="279">
        <v>10000</v>
      </c>
    </row>
    <row r="33" spans="1:7" ht="12" customHeight="1" thickBot="1" x14ac:dyDescent="0.3">
      <c r="A33" s="20" t="s">
        <v>17</v>
      </c>
      <c r="B33" s="132" t="s">
        <v>440</v>
      </c>
      <c r="C33" s="405">
        <f>+C28+C29</f>
        <v>1625961</v>
      </c>
      <c r="D33" s="405">
        <f>+D28+D29</f>
        <v>1886115</v>
      </c>
      <c r="E33" s="278">
        <f>+E28+E29</f>
        <v>1888684</v>
      </c>
    </row>
    <row r="34" spans="1:7" ht="15" customHeight="1" thickBot="1" x14ac:dyDescent="0.3">
      <c r="A34" s="20" t="s">
        <v>18</v>
      </c>
      <c r="B34" s="132" t="s">
        <v>526</v>
      </c>
      <c r="C34" s="520">
        <f>C22-C33</f>
        <v>175890</v>
      </c>
      <c r="D34" s="520">
        <f>D22-D33</f>
        <v>171180</v>
      </c>
      <c r="E34" s="521">
        <f>E22-E33</f>
        <v>172891</v>
      </c>
      <c r="F34" s="437"/>
    </row>
    <row r="35" spans="1:7" s="424" customFormat="1" ht="12.95" customHeight="1" thickBot="1" x14ac:dyDescent="0.25">
      <c r="A35" s="294" t="s">
        <v>19</v>
      </c>
      <c r="B35" s="387" t="s">
        <v>527</v>
      </c>
      <c r="C35" s="510">
        <f>+C33+C34</f>
        <v>1801851</v>
      </c>
      <c r="D35" s="510">
        <f>+D33+D34</f>
        <v>2057295</v>
      </c>
      <c r="E35" s="504">
        <f>+E33+E34</f>
        <v>2061575</v>
      </c>
    </row>
    <row r="36" spans="1:7" x14ac:dyDescent="0.25">
      <c r="C36" s="388"/>
    </row>
    <row r="37" spans="1:7" x14ac:dyDescent="0.25">
      <c r="C37" s="388"/>
    </row>
    <row r="38" spans="1:7" x14ac:dyDescent="0.25">
      <c r="C38" s="388"/>
    </row>
    <row r="39" spans="1:7" ht="16.5" customHeight="1" x14ac:dyDescent="0.25">
      <c r="C39" s="388"/>
    </row>
    <row r="40" spans="1:7" x14ac:dyDescent="0.25">
      <c r="C40" s="388"/>
    </row>
    <row r="41" spans="1:7" x14ac:dyDescent="0.25">
      <c r="C41" s="388"/>
    </row>
    <row r="42" spans="1:7" s="388" customFormat="1" x14ac:dyDescent="0.25">
      <c r="F42" s="422"/>
      <c r="G42" s="422"/>
    </row>
    <row r="43" spans="1:7" s="388" customFormat="1" x14ac:dyDescent="0.25">
      <c r="F43" s="422"/>
      <c r="G43" s="422"/>
    </row>
    <row r="44" spans="1:7" s="388" customFormat="1" x14ac:dyDescent="0.25">
      <c r="F44" s="422"/>
      <c r="G44" s="422"/>
    </row>
    <row r="45" spans="1:7" s="388" customFormat="1" x14ac:dyDescent="0.25">
      <c r="F45" s="422"/>
      <c r="G45" s="422"/>
    </row>
    <row r="46" spans="1:7" s="388" customFormat="1" x14ac:dyDescent="0.25">
      <c r="F46" s="422"/>
      <c r="G46" s="422"/>
    </row>
    <row r="47" spans="1:7" s="388" customFormat="1" x14ac:dyDescent="0.25">
      <c r="F47" s="422"/>
      <c r="G47" s="422"/>
    </row>
    <row r="48" spans="1:7" s="388" customFormat="1" x14ac:dyDescent="0.25">
      <c r="F48" s="422"/>
      <c r="G48" s="422"/>
    </row>
  </sheetData>
  <mergeCells count="4">
    <mergeCell ref="A1:E1"/>
    <mergeCell ref="A2:B2"/>
    <mergeCell ref="A24:E24"/>
    <mergeCell ref="A25:B25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5" fitToWidth="3" fitToHeight="2" orientation="portrait" r:id="rId1"/>
  <headerFooter alignWithMargins="0">
    <oddHeader>&amp;C&amp;"Times New Roman CE,Félkövér"&amp;12Ibrány Város Önkormányzata
2019. ÉVI KÖLTSÉGVETÉSI ÉVET KÖVETŐ 3 ÉV TERVEZETT BEVÉTELEI, KIADÁSAI&amp;R&amp;"Times New Roman CE,Félkövér dőlt"&amp;11 7. számú tájékoztató tábla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3" sqref="B13"/>
    </sheetView>
  </sheetViews>
  <sheetFormatPr defaultRowHeight="12.75" x14ac:dyDescent="0.2"/>
  <sheetData/>
  <phoneticPr fontId="3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0"/>
  <sheetViews>
    <sheetView view="pageLayout" topLeftCell="A128" zoomScaleNormal="130" zoomScaleSheetLayoutView="100" workbookViewId="0">
      <selection activeCell="C94" sqref="C94:C155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5" t="s">
        <v>12</v>
      </c>
      <c r="B1" s="675"/>
      <c r="C1" s="675"/>
    </row>
    <row r="2" spans="1:3" ht="15.95" customHeight="1" thickBot="1" x14ac:dyDescent="0.3">
      <c r="A2" s="676" t="s">
        <v>145</v>
      </c>
      <c r="B2" s="676"/>
      <c r="C2" s="306" t="s">
        <v>563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2019.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+C6+C7+C8+C9+C10+C11</f>
        <v>0</v>
      </c>
    </row>
    <row r="6" spans="1:3" s="424" customFormat="1" ht="12" customHeight="1" x14ac:dyDescent="0.2">
      <c r="A6" s="15" t="s">
        <v>92</v>
      </c>
      <c r="B6" s="425" t="s">
        <v>241</v>
      </c>
      <c r="C6" s="299"/>
    </row>
    <row r="7" spans="1:3" s="424" customFormat="1" ht="12" customHeight="1" x14ac:dyDescent="0.2">
      <c r="A7" s="14" t="s">
        <v>93</v>
      </c>
      <c r="B7" s="426" t="s">
        <v>242</v>
      </c>
      <c r="C7" s="298"/>
    </row>
    <row r="8" spans="1:3" s="424" customFormat="1" ht="12" customHeight="1" x14ac:dyDescent="0.2">
      <c r="A8" s="14" t="s">
        <v>94</v>
      </c>
      <c r="B8" s="426" t="s">
        <v>538</v>
      </c>
      <c r="C8" s="298"/>
    </row>
    <row r="9" spans="1:3" s="424" customFormat="1" ht="12" customHeight="1" x14ac:dyDescent="0.2">
      <c r="A9" s="14" t="s">
        <v>95</v>
      </c>
      <c r="B9" s="426" t="s">
        <v>244</v>
      </c>
      <c r="C9" s="298"/>
    </row>
    <row r="10" spans="1:3" s="424" customFormat="1" ht="12" customHeight="1" x14ac:dyDescent="0.2">
      <c r="A10" s="14" t="s">
        <v>141</v>
      </c>
      <c r="B10" s="292" t="s">
        <v>424</v>
      </c>
      <c r="C10" s="298"/>
    </row>
    <row r="11" spans="1:3" s="424" customFormat="1" ht="12" customHeight="1" thickBot="1" x14ac:dyDescent="0.25">
      <c r="A11" s="16" t="s">
        <v>96</v>
      </c>
      <c r="B11" s="293" t="s">
        <v>425</v>
      </c>
      <c r="C11" s="298"/>
    </row>
    <row r="12" spans="1:3" s="424" customFormat="1" ht="12" customHeight="1" thickBot="1" x14ac:dyDescent="0.25">
      <c r="A12" s="20" t="s">
        <v>16</v>
      </c>
      <c r="B12" s="291" t="s">
        <v>245</v>
      </c>
      <c r="C12" s="296">
        <f>+C13+C14+C15+C16+C17</f>
        <v>0</v>
      </c>
    </row>
    <row r="13" spans="1:3" s="424" customFormat="1" ht="12" customHeight="1" x14ac:dyDescent="0.2">
      <c r="A13" s="15" t="s">
        <v>98</v>
      </c>
      <c r="B13" s="425" t="s">
        <v>246</v>
      </c>
      <c r="C13" s="299"/>
    </row>
    <row r="14" spans="1:3" s="424" customFormat="1" ht="12" customHeight="1" x14ac:dyDescent="0.2">
      <c r="A14" s="14" t="s">
        <v>99</v>
      </c>
      <c r="B14" s="426" t="s">
        <v>247</v>
      </c>
      <c r="C14" s="298"/>
    </row>
    <row r="15" spans="1:3" s="424" customFormat="1" ht="12" customHeight="1" x14ac:dyDescent="0.2">
      <c r="A15" s="14" t="s">
        <v>100</v>
      </c>
      <c r="B15" s="426" t="s">
        <v>414</v>
      </c>
      <c r="C15" s="298"/>
    </row>
    <row r="16" spans="1:3" s="424" customFormat="1" ht="12" customHeight="1" x14ac:dyDescent="0.2">
      <c r="A16" s="14" t="s">
        <v>101</v>
      </c>
      <c r="B16" s="426" t="s">
        <v>415</v>
      </c>
      <c r="C16" s="298"/>
    </row>
    <row r="17" spans="1:3" s="424" customFormat="1" ht="12" customHeight="1" x14ac:dyDescent="0.2">
      <c r="A17" s="14" t="s">
        <v>102</v>
      </c>
      <c r="B17" s="426" t="s">
        <v>248</v>
      </c>
      <c r="C17" s="298"/>
    </row>
    <row r="18" spans="1:3" s="424" customFormat="1" ht="12" customHeight="1" thickBot="1" x14ac:dyDescent="0.25">
      <c r="A18" s="16" t="s">
        <v>111</v>
      </c>
      <c r="B18" s="293" t="s">
        <v>249</v>
      </c>
      <c r="C18" s="300"/>
    </row>
    <row r="19" spans="1:3" s="424" customFormat="1" ht="12" customHeight="1" thickBot="1" x14ac:dyDescent="0.25">
      <c r="A19" s="20" t="s">
        <v>17</v>
      </c>
      <c r="B19" s="21" t="s">
        <v>250</v>
      </c>
      <c r="C19" s="296">
        <f>+C20+C21+C22+C23+C24</f>
        <v>0</v>
      </c>
    </row>
    <row r="20" spans="1:3" s="424" customFormat="1" ht="12" customHeight="1" x14ac:dyDescent="0.2">
      <c r="A20" s="15" t="s">
        <v>81</v>
      </c>
      <c r="B20" s="425" t="s">
        <v>251</v>
      </c>
      <c r="C20" s="299"/>
    </row>
    <row r="21" spans="1:3" s="424" customFormat="1" ht="12" customHeight="1" x14ac:dyDescent="0.2">
      <c r="A21" s="14" t="s">
        <v>82</v>
      </c>
      <c r="B21" s="426" t="s">
        <v>252</v>
      </c>
      <c r="C21" s="298"/>
    </row>
    <row r="22" spans="1:3" s="424" customFormat="1" ht="12" customHeight="1" x14ac:dyDescent="0.2">
      <c r="A22" s="14" t="s">
        <v>83</v>
      </c>
      <c r="B22" s="426" t="s">
        <v>416</v>
      </c>
      <c r="C22" s="298"/>
    </row>
    <row r="23" spans="1:3" s="424" customFormat="1" ht="12" customHeight="1" x14ac:dyDescent="0.2">
      <c r="A23" s="14" t="s">
        <v>84</v>
      </c>
      <c r="B23" s="426" t="s">
        <v>417</v>
      </c>
      <c r="C23" s="298"/>
    </row>
    <row r="24" spans="1:3" s="424" customFormat="1" ht="12" customHeight="1" x14ac:dyDescent="0.2">
      <c r="A24" s="14" t="s">
        <v>160</v>
      </c>
      <c r="B24" s="426" t="s">
        <v>253</v>
      </c>
      <c r="C24" s="298"/>
    </row>
    <row r="25" spans="1:3" s="424" customFormat="1" ht="12" customHeight="1" thickBot="1" x14ac:dyDescent="0.25">
      <c r="A25" s="16" t="s">
        <v>161</v>
      </c>
      <c r="B25" s="427" t="s">
        <v>254</v>
      </c>
      <c r="C25" s="300"/>
    </row>
    <row r="26" spans="1:3" s="424" customFormat="1" ht="12" customHeight="1" thickBot="1" x14ac:dyDescent="0.25">
      <c r="A26" s="20" t="s">
        <v>162</v>
      </c>
      <c r="B26" s="21" t="s">
        <v>548</v>
      </c>
      <c r="C26" s="302">
        <f>SUM(C27:C34)</f>
        <v>0</v>
      </c>
    </row>
    <row r="27" spans="1:3" s="424" customFormat="1" ht="12" customHeight="1" x14ac:dyDescent="0.2">
      <c r="A27" s="15" t="s">
        <v>256</v>
      </c>
      <c r="B27" s="425" t="s">
        <v>543</v>
      </c>
      <c r="C27" s="299"/>
    </row>
    <row r="28" spans="1:3" s="424" customFormat="1" ht="12" customHeight="1" x14ac:dyDescent="0.2">
      <c r="A28" s="14" t="s">
        <v>257</v>
      </c>
      <c r="B28" s="426" t="s">
        <v>544</v>
      </c>
      <c r="C28" s="298"/>
    </row>
    <row r="29" spans="1:3" s="424" customFormat="1" ht="12" customHeight="1" x14ac:dyDescent="0.2">
      <c r="A29" s="14" t="s">
        <v>258</v>
      </c>
      <c r="B29" s="426" t="s">
        <v>628</v>
      </c>
      <c r="C29" s="298"/>
    </row>
    <row r="30" spans="1:3" s="424" customFormat="1" ht="12" customHeight="1" x14ac:dyDescent="0.2">
      <c r="A30" s="14" t="s">
        <v>259</v>
      </c>
      <c r="B30" s="426" t="s">
        <v>545</v>
      </c>
      <c r="C30" s="298"/>
    </row>
    <row r="31" spans="1:3" s="424" customFormat="1" ht="12" customHeight="1" x14ac:dyDescent="0.2">
      <c r="A31" s="14" t="s">
        <v>540</v>
      </c>
      <c r="B31" s="426" t="s">
        <v>546</v>
      </c>
      <c r="C31" s="298"/>
    </row>
    <row r="32" spans="1:3" s="424" customFormat="1" ht="12" customHeight="1" x14ac:dyDescent="0.2">
      <c r="A32" s="14" t="s">
        <v>541</v>
      </c>
      <c r="B32" s="426" t="s">
        <v>260</v>
      </c>
      <c r="C32" s="298"/>
    </row>
    <row r="33" spans="1:3" s="424" customFormat="1" ht="12" customHeight="1" x14ac:dyDescent="0.2">
      <c r="A33" s="16" t="s">
        <v>542</v>
      </c>
      <c r="B33" s="426" t="s">
        <v>261</v>
      </c>
      <c r="C33" s="298"/>
    </row>
    <row r="34" spans="1:3" s="424" customFormat="1" ht="12" customHeight="1" thickBot="1" x14ac:dyDescent="0.25">
      <c r="A34" s="16" t="s">
        <v>629</v>
      </c>
      <c r="B34" s="522" t="s">
        <v>262</v>
      </c>
      <c r="C34" s="300"/>
    </row>
    <row r="35" spans="1:3" s="424" customFormat="1" ht="12" customHeight="1" thickBot="1" x14ac:dyDescent="0.25">
      <c r="A35" s="20" t="s">
        <v>19</v>
      </c>
      <c r="B35" s="21" t="s">
        <v>426</v>
      </c>
      <c r="C35" s="296">
        <f>SUM(C36:C46)</f>
        <v>0</v>
      </c>
    </row>
    <row r="36" spans="1:3" s="424" customFormat="1" ht="12" customHeight="1" x14ac:dyDescent="0.2">
      <c r="A36" s="15" t="s">
        <v>85</v>
      </c>
      <c r="B36" s="425" t="s">
        <v>265</v>
      </c>
      <c r="C36" s="299"/>
    </row>
    <row r="37" spans="1:3" s="424" customFormat="1" ht="12" customHeight="1" x14ac:dyDescent="0.2">
      <c r="A37" s="14" t="s">
        <v>86</v>
      </c>
      <c r="B37" s="426" t="s">
        <v>266</v>
      </c>
      <c r="C37" s="298"/>
    </row>
    <row r="38" spans="1:3" s="424" customFormat="1" ht="12" customHeight="1" x14ac:dyDescent="0.2">
      <c r="A38" s="14" t="s">
        <v>87</v>
      </c>
      <c r="B38" s="426" t="s">
        <v>267</v>
      </c>
      <c r="C38" s="298"/>
    </row>
    <row r="39" spans="1:3" s="424" customFormat="1" ht="12" customHeight="1" x14ac:dyDescent="0.2">
      <c r="A39" s="14" t="s">
        <v>164</v>
      </c>
      <c r="B39" s="426" t="s">
        <v>268</v>
      </c>
      <c r="C39" s="298"/>
    </row>
    <row r="40" spans="1:3" s="424" customFormat="1" ht="12" customHeight="1" x14ac:dyDescent="0.2">
      <c r="A40" s="14" t="s">
        <v>165</v>
      </c>
      <c r="B40" s="426" t="s">
        <v>269</v>
      </c>
      <c r="C40" s="298"/>
    </row>
    <row r="41" spans="1:3" s="424" customFormat="1" ht="12" customHeight="1" x14ac:dyDescent="0.2">
      <c r="A41" s="14" t="s">
        <v>166</v>
      </c>
      <c r="B41" s="426" t="s">
        <v>270</v>
      </c>
      <c r="C41" s="298"/>
    </row>
    <row r="42" spans="1:3" s="424" customFormat="1" ht="12" customHeight="1" x14ac:dyDescent="0.2">
      <c r="A42" s="14" t="s">
        <v>167</v>
      </c>
      <c r="B42" s="426" t="s">
        <v>271</v>
      </c>
      <c r="C42" s="298"/>
    </row>
    <row r="43" spans="1:3" s="424" customFormat="1" ht="12" customHeight="1" x14ac:dyDescent="0.2">
      <c r="A43" s="14" t="s">
        <v>168</v>
      </c>
      <c r="B43" s="426" t="s">
        <v>547</v>
      </c>
      <c r="C43" s="298"/>
    </row>
    <row r="44" spans="1:3" s="424" customFormat="1" ht="12" customHeight="1" x14ac:dyDescent="0.2">
      <c r="A44" s="14" t="s">
        <v>263</v>
      </c>
      <c r="B44" s="426" t="s">
        <v>273</v>
      </c>
      <c r="C44" s="301"/>
    </row>
    <row r="45" spans="1:3" s="424" customFormat="1" ht="12" customHeight="1" x14ac:dyDescent="0.2">
      <c r="A45" s="16" t="s">
        <v>264</v>
      </c>
      <c r="B45" s="427" t="s">
        <v>428</v>
      </c>
      <c r="C45" s="411"/>
    </row>
    <row r="46" spans="1:3" s="424" customFormat="1" ht="12" customHeight="1" thickBot="1" x14ac:dyDescent="0.25">
      <c r="A46" s="16" t="s">
        <v>427</v>
      </c>
      <c r="B46" s="293" t="s">
        <v>274</v>
      </c>
      <c r="C46" s="411"/>
    </row>
    <row r="47" spans="1:3" s="424" customFormat="1" ht="12" customHeight="1" thickBot="1" x14ac:dyDescent="0.25">
      <c r="A47" s="20" t="s">
        <v>20</v>
      </c>
      <c r="B47" s="21" t="s">
        <v>275</v>
      </c>
      <c r="C47" s="296">
        <f>SUM(C48:C52)</f>
        <v>0</v>
      </c>
    </row>
    <row r="48" spans="1:3" s="424" customFormat="1" ht="12" customHeight="1" x14ac:dyDescent="0.2">
      <c r="A48" s="15" t="s">
        <v>88</v>
      </c>
      <c r="B48" s="425" t="s">
        <v>279</v>
      </c>
      <c r="C48" s="470"/>
    </row>
    <row r="49" spans="1:3" s="424" customFormat="1" ht="12" customHeight="1" x14ac:dyDescent="0.2">
      <c r="A49" s="14" t="s">
        <v>89</v>
      </c>
      <c r="B49" s="426" t="s">
        <v>280</v>
      </c>
      <c r="C49" s="301"/>
    </row>
    <row r="50" spans="1:3" s="424" customFormat="1" ht="12" customHeight="1" x14ac:dyDescent="0.2">
      <c r="A50" s="14" t="s">
        <v>276</v>
      </c>
      <c r="B50" s="426" t="s">
        <v>281</v>
      </c>
      <c r="C50" s="301"/>
    </row>
    <row r="51" spans="1:3" s="424" customFormat="1" ht="12" customHeight="1" x14ac:dyDescent="0.2">
      <c r="A51" s="14" t="s">
        <v>277</v>
      </c>
      <c r="B51" s="426" t="s">
        <v>282</v>
      </c>
      <c r="C51" s="301"/>
    </row>
    <row r="52" spans="1:3" s="424" customFormat="1" ht="12" customHeight="1" thickBot="1" x14ac:dyDescent="0.25">
      <c r="A52" s="16" t="s">
        <v>278</v>
      </c>
      <c r="B52" s="293" t="s">
        <v>283</v>
      </c>
      <c r="C52" s="411"/>
    </row>
    <row r="53" spans="1:3" s="424" customFormat="1" ht="12" customHeight="1" thickBot="1" x14ac:dyDescent="0.25">
      <c r="A53" s="20" t="s">
        <v>169</v>
      </c>
      <c r="B53" s="21" t="s">
        <v>284</v>
      </c>
      <c r="C53" s="296">
        <f>SUM(C54:C56)</f>
        <v>0</v>
      </c>
    </row>
    <row r="54" spans="1:3" s="424" customFormat="1" ht="12" customHeight="1" x14ac:dyDescent="0.2">
      <c r="A54" s="15" t="s">
        <v>90</v>
      </c>
      <c r="B54" s="425" t="s">
        <v>285</v>
      </c>
      <c r="C54" s="299"/>
    </row>
    <row r="55" spans="1:3" s="424" customFormat="1" ht="12" customHeight="1" x14ac:dyDescent="0.2">
      <c r="A55" s="14" t="s">
        <v>91</v>
      </c>
      <c r="B55" s="426" t="s">
        <v>418</v>
      </c>
      <c r="C55" s="298"/>
    </row>
    <row r="56" spans="1:3" s="424" customFormat="1" ht="12" customHeight="1" x14ac:dyDescent="0.2">
      <c r="A56" s="14" t="s">
        <v>288</v>
      </c>
      <c r="B56" s="426" t="s">
        <v>286</v>
      </c>
      <c r="C56" s="298"/>
    </row>
    <row r="57" spans="1:3" s="424" customFormat="1" ht="12" customHeight="1" thickBot="1" x14ac:dyDescent="0.25">
      <c r="A57" s="16" t="s">
        <v>289</v>
      </c>
      <c r="B57" s="293" t="s">
        <v>287</v>
      </c>
      <c r="C57" s="300"/>
    </row>
    <row r="58" spans="1:3" s="424" customFormat="1" ht="12" customHeight="1" thickBot="1" x14ac:dyDescent="0.25">
      <c r="A58" s="20" t="s">
        <v>22</v>
      </c>
      <c r="B58" s="291" t="s">
        <v>290</v>
      </c>
      <c r="C58" s="296">
        <f>SUM(C59:C61)</f>
        <v>0</v>
      </c>
    </row>
    <row r="59" spans="1:3" s="424" customFormat="1" ht="12" customHeight="1" x14ac:dyDescent="0.2">
      <c r="A59" s="15" t="s">
        <v>170</v>
      </c>
      <c r="B59" s="425" t="s">
        <v>292</v>
      </c>
      <c r="C59" s="301"/>
    </row>
    <row r="60" spans="1:3" s="424" customFormat="1" ht="12" customHeight="1" x14ac:dyDescent="0.2">
      <c r="A60" s="14" t="s">
        <v>171</v>
      </c>
      <c r="B60" s="426" t="s">
        <v>419</v>
      </c>
      <c r="C60" s="301"/>
    </row>
    <row r="61" spans="1:3" s="424" customFormat="1" ht="12" customHeight="1" x14ac:dyDescent="0.2">
      <c r="A61" s="14" t="s">
        <v>216</v>
      </c>
      <c r="B61" s="426" t="s">
        <v>293</v>
      </c>
      <c r="C61" s="301"/>
    </row>
    <row r="62" spans="1:3" s="424" customFormat="1" ht="12" customHeight="1" thickBot="1" x14ac:dyDescent="0.25">
      <c r="A62" s="16" t="s">
        <v>291</v>
      </c>
      <c r="B62" s="293" t="s">
        <v>294</v>
      </c>
      <c r="C62" s="301"/>
    </row>
    <row r="63" spans="1:3" s="424" customFormat="1" ht="12" customHeight="1" thickBot="1" x14ac:dyDescent="0.25">
      <c r="A63" s="494" t="s">
        <v>468</v>
      </c>
      <c r="B63" s="21" t="s">
        <v>295</v>
      </c>
      <c r="C63" s="302">
        <f>+C5+C12+C19+C26+C35+C47+C53+C58</f>
        <v>0</v>
      </c>
    </row>
    <row r="64" spans="1:3" s="424" customFormat="1" ht="12" customHeight="1" thickBot="1" x14ac:dyDescent="0.25">
      <c r="A64" s="473" t="s">
        <v>296</v>
      </c>
      <c r="B64" s="291" t="s">
        <v>297</v>
      </c>
      <c r="C64" s="296">
        <f>SUM(C65:C67)</f>
        <v>0</v>
      </c>
    </row>
    <row r="65" spans="1:3" s="424" customFormat="1" ht="12" customHeight="1" x14ac:dyDescent="0.2">
      <c r="A65" s="15" t="s">
        <v>328</v>
      </c>
      <c r="B65" s="425" t="s">
        <v>298</v>
      </c>
      <c r="C65" s="301"/>
    </row>
    <row r="66" spans="1:3" s="424" customFormat="1" ht="12" customHeight="1" x14ac:dyDescent="0.2">
      <c r="A66" s="14" t="s">
        <v>337</v>
      </c>
      <c r="B66" s="426" t="s">
        <v>299</v>
      </c>
      <c r="C66" s="301"/>
    </row>
    <row r="67" spans="1:3" s="424" customFormat="1" ht="12" customHeight="1" thickBot="1" x14ac:dyDescent="0.25">
      <c r="A67" s="16" t="s">
        <v>338</v>
      </c>
      <c r="B67" s="488" t="s">
        <v>453</v>
      </c>
      <c r="C67" s="301"/>
    </row>
    <row r="68" spans="1:3" s="424" customFormat="1" ht="12" customHeight="1" thickBot="1" x14ac:dyDescent="0.25">
      <c r="A68" s="473" t="s">
        <v>301</v>
      </c>
      <c r="B68" s="291" t="s">
        <v>302</v>
      </c>
      <c r="C68" s="296">
        <f>SUM(C69:C72)</f>
        <v>0</v>
      </c>
    </row>
    <row r="69" spans="1:3" s="424" customFormat="1" ht="12" customHeight="1" x14ac:dyDescent="0.2">
      <c r="A69" s="15" t="s">
        <v>142</v>
      </c>
      <c r="B69" s="425" t="s">
        <v>303</v>
      </c>
      <c r="C69" s="301"/>
    </row>
    <row r="70" spans="1:3" s="424" customFormat="1" ht="12" customHeight="1" x14ac:dyDescent="0.2">
      <c r="A70" s="14" t="s">
        <v>143</v>
      </c>
      <c r="B70" s="426" t="s">
        <v>304</v>
      </c>
      <c r="C70" s="301"/>
    </row>
    <row r="71" spans="1:3" s="424" customFormat="1" ht="12" customHeight="1" x14ac:dyDescent="0.2">
      <c r="A71" s="14" t="s">
        <v>329</v>
      </c>
      <c r="B71" s="426" t="s">
        <v>305</v>
      </c>
      <c r="C71" s="301"/>
    </row>
    <row r="72" spans="1:3" s="424" customFormat="1" ht="12" customHeight="1" thickBot="1" x14ac:dyDescent="0.25">
      <c r="A72" s="16" t="s">
        <v>330</v>
      </c>
      <c r="B72" s="293" t="s">
        <v>306</v>
      </c>
      <c r="C72" s="301"/>
    </row>
    <row r="73" spans="1:3" s="424" customFormat="1" ht="12" customHeight="1" thickBot="1" x14ac:dyDescent="0.25">
      <c r="A73" s="473" t="s">
        <v>307</v>
      </c>
      <c r="B73" s="291" t="s">
        <v>308</v>
      </c>
      <c r="C73" s="296">
        <f>SUM(C74:C75)</f>
        <v>0</v>
      </c>
    </row>
    <row r="74" spans="1:3" s="424" customFormat="1" ht="12" customHeight="1" x14ac:dyDescent="0.2">
      <c r="A74" s="15" t="s">
        <v>331</v>
      </c>
      <c r="B74" s="425" t="s">
        <v>309</v>
      </c>
      <c r="C74" s="301"/>
    </row>
    <row r="75" spans="1:3" s="424" customFormat="1" ht="12" customHeight="1" thickBot="1" x14ac:dyDescent="0.25">
      <c r="A75" s="16" t="s">
        <v>332</v>
      </c>
      <c r="B75" s="293" t="s">
        <v>310</v>
      </c>
      <c r="C75" s="301"/>
    </row>
    <row r="76" spans="1:3" s="424" customFormat="1" ht="12" customHeight="1" thickBot="1" x14ac:dyDescent="0.25">
      <c r="A76" s="473" t="s">
        <v>311</v>
      </c>
      <c r="B76" s="291" t="s">
        <v>312</v>
      </c>
      <c r="C76" s="296">
        <f>SUM(C77:C79)</f>
        <v>0</v>
      </c>
    </row>
    <row r="77" spans="1:3" s="424" customFormat="1" ht="12" customHeight="1" x14ac:dyDescent="0.2">
      <c r="A77" s="15" t="s">
        <v>333</v>
      </c>
      <c r="B77" s="425" t="s">
        <v>313</v>
      </c>
      <c r="C77" s="301"/>
    </row>
    <row r="78" spans="1:3" s="424" customFormat="1" ht="12" customHeight="1" x14ac:dyDescent="0.2">
      <c r="A78" s="14" t="s">
        <v>334</v>
      </c>
      <c r="B78" s="426" t="s">
        <v>314</v>
      </c>
      <c r="C78" s="301"/>
    </row>
    <row r="79" spans="1:3" s="424" customFormat="1" ht="12" customHeight="1" thickBot="1" x14ac:dyDescent="0.25">
      <c r="A79" s="16" t="s">
        <v>335</v>
      </c>
      <c r="B79" s="293" t="s">
        <v>315</v>
      </c>
      <c r="C79" s="301"/>
    </row>
    <row r="80" spans="1:3" s="424" customFormat="1" ht="12" customHeight="1" thickBot="1" x14ac:dyDescent="0.25">
      <c r="A80" s="473" t="s">
        <v>316</v>
      </c>
      <c r="B80" s="291" t="s">
        <v>336</v>
      </c>
      <c r="C80" s="296">
        <f>SUM(C81:C84)</f>
        <v>0</v>
      </c>
    </row>
    <row r="81" spans="1:3" s="424" customFormat="1" ht="12" customHeight="1" x14ac:dyDescent="0.2">
      <c r="A81" s="429" t="s">
        <v>317</v>
      </c>
      <c r="B81" s="425" t="s">
        <v>318</v>
      </c>
      <c r="C81" s="301"/>
    </row>
    <row r="82" spans="1:3" s="424" customFormat="1" ht="12" customHeight="1" x14ac:dyDescent="0.2">
      <c r="A82" s="430" t="s">
        <v>319</v>
      </c>
      <c r="B82" s="426" t="s">
        <v>320</v>
      </c>
      <c r="C82" s="301"/>
    </row>
    <row r="83" spans="1:3" s="424" customFormat="1" ht="12" customHeight="1" x14ac:dyDescent="0.2">
      <c r="A83" s="430" t="s">
        <v>321</v>
      </c>
      <c r="B83" s="426" t="s">
        <v>322</v>
      </c>
      <c r="C83" s="301"/>
    </row>
    <row r="84" spans="1:3" s="424" customFormat="1" ht="12" customHeight="1" thickBot="1" x14ac:dyDescent="0.25">
      <c r="A84" s="431" t="s">
        <v>323</v>
      </c>
      <c r="B84" s="293" t="s">
        <v>324</v>
      </c>
      <c r="C84" s="301"/>
    </row>
    <row r="85" spans="1:3" s="424" customFormat="1" ht="12" customHeight="1" thickBot="1" x14ac:dyDescent="0.25">
      <c r="A85" s="473" t="s">
        <v>325</v>
      </c>
      <c r="B85" s="291" t="s">
        <v>467</v>
      </c>
      <c r="C85" s="471"/>
    </row>
    <row r="86" spans="1:3" s="424" customFormat="1" ht="13.5" customHeight="1" thickBot="1" x14ac:dyDescent="0.25">
      <c r="A86" s="473" t="s">
        <v>327</v>
      </c>
      <c r="B86" s="291" t="s">
        <v>326</v>
      </c>
      <c r="C86" s="471"/>
    </row>
    <row r="87" spans="1:3" s="424" customFormat="1" ht="15.75" customHeight="1" thickBot="1" x14ac:dyDescent="0.25">
      <c r="A87" s="473" t="s">
        <v>339</v>
      </c>
      <c r="B87" s="432" t="s">
        <v>470</v>
      </c>
      <c r="C87" s="302">
        <f>+C64+C68+C73+C76+C80+C86+C85</f>
        <v>0</v>
      </c>
    </row>
    <row r="88" spans="1:3" s="424" customFormat="1" ht="16.5" customHeight="1" thickBot="1" x14ac:dyDescent="0.25">
      <c r="A88" s="474" t="s">
        <v>469</v>
      </c>
      <c r="B88" s="433" t="s">
        <v>471</v>
      </c>
      <c r="C88" s="302">
        <f>+C63+C87</f>
        <v>0</v>
      </c>
    </row>
    <row r="89" spans="1:3" s="424" customFormat="1" ht="24.75" customHeight="1" x14ac:dyDescent="0.2">
      <c r="A89" s="5"/>
      <c r="B89" s="6"/>
      <c r="C89" s="303"/>
    </row>
    <row r="90" spans="1:3" ht="16.5" customHeight="1" x14ac:dyDescent="0.25">
      <c r="A90" s="675" t="s">
        <v>44</v>
      </c>
      <c r="B90" s="675"/>
      <c r="C90" s="675"/>
    </row>
    <row r="91" spans="1:3" s="434" customFormat="1" ht="16.5" customHeight="1" thickBot="1" x14ac:dyDescent="0.3">
      <c r="A91" s="677" t="s">
        <v>146</v>
      </c>
      <c r="B91" s="677"/>
      <c r="C91" s="146" t="s">
        <v>563</v>
      </c>
    </row>
    <row r="92" spans="1:3" ht="38.1" customHeight="1" thickBot="1" x14ac:dyDescent="0.3">
      <c r="A92" s="23" t="s">
        <v>66</v>
      </c>
      <c r="B92" s="24" t="s">
        <v>45</v>
      </c>
      <c r="C92" s="41" t="str">
        <f>+C3</f>
        <v>2019. évi előirányzat</v>
      </c>
    </row>
    <row r="93" spans="1:3" s="423" customFormat="1" ht="12" customHeight="1" thickBot="1" x14ac:dyDescent="0.25">
      <c r="A93" s="33"/>
      <c r="B93" s="34" t="s">
        <v>484</v>
      </c>
      <c r="C93" s="35" t="s">
        <v>485</v>
      </c>
    </row>
    <row r="94" spans="1:3" ht="12" customHeight="1" thickBot="1" x14ac:dyDescent="0.3">
      <c r="A94" s="22" t="s">
        <v>15</v>
      </c>
      <c r="B94" s="28" t="s">
        <v>429</v>
      </c>
      <c r="C94" s="295">
        <f>C95+C96+C97+C98+C99+C112</f>
        <v>27173582</v>
      </c>
    </row>
    <row r="95" spans="1:3" ht="12" customHeight="1" x14ac:dyDescent="0.25">
      <c r="A95" s="17" t="s">
        <v>92</v>
      </c>
      <c r="B95" s="10" t="s">
        <v>46</v>
      </c>
      <c r="C95" s="297">
        <f>'9.2.3. sz. mell HIV'!C47</f>
        <v>21737643</v>
      </c>
    </row>
    <row r="96" spans="1:3" ht="12" customHeight="1" x14ac:dyDescent="0.25">
      <c r="A96" s="14" t="s">
        <v>93</v>
      </c>
      <c r="B96" s="8" t="s">
        <v>172</v>
      </c>
      <c r="C96" s="298">
        <f>'9.2.3. sz. mell HIV'!C48</f>
        <v>4235939</v>
      </c>
    </row>
    <row r="97" spans="1:3" ht="12" customHeight="1" x14ac:dyDescent="0.25">
      <c r="A97" s="14" t="s">
        <v>94</v>
      </c>
      <c r="B97" s="8" t="s">
        <v>134</v>
      </c>
      <c r="C97" s="299">
        <f>'9.2.3. sz. mell HIV'!C49</f>
        <v>1200000</v>
      </c>
    </row>
    <row r="98" spans="1:3" ht="12" customHeight="1" x14ac:dyDescent="0.25">
      <c r="A98" s="14" t="s">
        <v>95</v>
      </c>
      <c r="B98" s="11" t="s">
        <v>173</v>
      </c>
      <c r="C98" s="300"/>
    </row>
    <row r="99" spans="1:3" ht="12" customHeight="1" x14ac:dyDescent="0.25">
      <c r="A99" s="14" t="s">
        <v>106</v>
      </c>
      <c r="B99" s="19" t="s">
        <v>174</v>
      </c>
      <c r="C99" s="300"/>
    </row>
    <row r="100" spans="1:3" ht="12" customHeight="1" x14ac:dyDescent="0.25">
      <c r="A100" s="14" t="s">
        <v>96</v>
      </c>
      <c r="B100" s="8" t="s">
        <v>434</v>
      </c>
      <c r="C100" s="300"/>
    </row>
    <row r="101" spans="1:3" ht="12" customHeight="1" x14ac:dyDescent="0.25">
      <c r="A101" s="14" t="s">
        <v>97</v>
      </c>
      <c r="B101" s="151" t="s">
        <v>433</v>
      </c>
      <c r="C101" s="300"/>
    </row>
    <row r="102" spans="1:3" ht="12" customHeight="1" x14ac:dyDescent="0.25">
      <c r="A102" s="14" t="s">
        <v>107</v>
      </c>
      <c r="B102" s="151" t="s">
        <v>432</v>
      </c>
      <c r="C102" s="300"/>
    </row>
    <row r="103" spans="1:3" ht="12" customHeight="1" x14ac:dyDescent="0.25">
      <c r="A103" s="14" t="s">
        <v>108</v>
      </c>
      <c r="B103" s="149" t="s">
        <v>342</v>
      </c>
      <c r="C103" s="300"/>
    </row>
    <row r="104" spans="1:3" ht="12" customHeight="1" x14ac:dyDescent="0.25">
      <c r="A104" s="14" t="s">
        <v>109</v>
      </c>
      <c r="B104" s="150" t="s">
        <v>343</v>
      </c>
      <c r="C104" s="300"/>
    </row>
    <row r="105" spans="1:3" ht="12" customHeight="1" x14ac:dyDescent="0.25">
      <c r="A105" s="14" t="s">
        <v>110</v>
      </c>
      <c r="B105" s="150" t="s">
        <v>344</v>
      </c>
      <c r="C105" s="300"/>
    </row>
    <row r="106" spans="1:3" ht="12" customHeight="1" x14ac:dyDescent="0.25">
      <c r="A106" s="14" t="s">
        <v>112</v>
      </c>
      <c r="B106" s="149" t="s">
        <v>345</v>
      </c>
      <c r="C106" s="300"/>
    </row>
    <row r="107" spans="1:3" ht="12" customHeight="1" x14ac:dyDescent="0.25">
      <c r="A107" s="14" t="s">
        <v>175</v>
      </c>
      <c r="B107" s="149" t="s">
        <v>346</v>
      </c>
      <c r="C107" s="300"/>
    </row>
    <row r="108" spans="1:3" ht="12" customHeight="1" x14ac:dyDescent="0.25">
      <c r="A108" s="14" t="s">
        <v>340</v>
      </c>
      <c r="B108" s="150" t="s">
        <v>347</v>
      </c>
      <c r="C108" s="300"/>
    </row>
    <row r="109" spans="1:3" ht="12" customHeight="1" x14ac:dyDescent="0.25">
      <c r="A109" s="13" t="s">
        <v>341</v>
      </c>
      <c r="B109" s="151" t="s">
        <v>348</v>
      </c>
      <c r="C109" s="300"/>
    </row>
    <row r="110" spans="1:3" ht="12" customHeight="1" x14ac:dyDescent="0.25">
      <c r="A110" s="14" t="s">
        <v>430</v>
      </c>
      <c r="B110" s="151" t="s">
        <v>349</v>
      </c>
      <c r="C110" s="300"/>
    </row>
    <row r="111" spans="1:3" ht="12" customHeight="1" x14ac:dyDescent="0.25">
      <c r="A111" s="16" t="s">
        <v>431</v>
      </c>
      <c r="B111" s="151" t="s">
        <v>350</v>
      </c>
      <c r="C111" s="300"/>
    </row>
    <row r="112" spans="1:3" ht="12" customHeight="1" x14ac:dyDescent="0.25">
      <c r="A112" s="14" t="s">
        <v>435</v>
      </c>
      <c r="B112" s="11" t="s">
        <v>47</v>
      </c>
      <c r="C112" s="298"/>
    </row>
    <row r="113" spans="1:3" ht="12" customHeight="1" x14ac:dyDescent="0.25">
      <c r="A113" s="14" t="s">
        <v>436</v>
      </c>
      <c r="B113" s="8" t="s">
        <v>438</v>
      </c>
      <c r="C113" s="298"/>
    </row>
    <row r="114" spans="1:3" ht="12" customHeight="1" thickBot="1" x14ac:dyDescent="0.3">
      <c r="A114" s="18" t="s">
        <v>437</v>
      </c>
      <c r="B114" s="492" t="s">
        <v>439</v>
      </c>
      <c r="C114" s="304"/>
    </row>
    <row r="115" spans="1:3" ht="12" customHeight="1" thickBot="1" x14ac:dyDescent="0.3">
      <c r="A115" s="489" t="s">
        <v>16</v>
      </c>
      <c r="B115" s="490" t="s">
        <v>351</v>
      </c>
      <c r="C115" s="491">
        <f>+C116+C118+C120</f>
        <v>0</v>
      </c>
    </row>
    <row r="116" spans="1:3" ht="12" customHeight="1" x14ac:dyDescent="0.25">
      <c r="A116" s="15" t="s">
        <v>98</v>
      </c>
      <c r="B116" s="8" t="s">
        <v>214</v>
      </c>
      <c r="C116" s="299"/>
    </row>
    <row r="117" spans="1:3" ht="12" customHeight="1" x14ac:dyDescent="0.25">
      <c r="A117" s="15" t="s">
        <v>99</v>
      </c>
      <c r="B117" s="12" t="s">
        <v>355</v>
      </c>
      <c r="C117" s="299"/>
    </row>
    <row r="118" spans="1:3" ht="12" customHeight="1" x14ac:dyDescent="0.25">
      <c r="A118" s="15" t="s">
        <v>100</v>
      </c>
      <c r="B118" s="12" t="s">
        <v>176</v>
      </c>
      <c r="C118" s="298"/>
    </row>
    <row r="119" spans="1:3" ht="12" customHeight="1" x14ac:dyDescent="0.25">
      <c r="A119" s="15" t="s">
        <v>101</v>
      </c>
      <c r="B119" s="12" t="s">
        <v>356</v>
      </c>
      <c r="C119" s="279"/>
    </row>
    <row r="120" spans="1:3" ht="12" customHeight="1" x14ac:dyDescent="0.25">
      <c r="A120" s="15" t="s">
        <v>102</v>
      </c>
      <c r="B120" s="293" t="s">
        <v>217</v>
      </c>
      <c r="C120" s="279"/>
    </row>
    <row r="121" spans="1:3" ht="12" customHeight="1" x14ac:dyDescent="0.25">
      <c r="A121" s="15" t="s">
        <v>111</v>
      </c>
      <c r="B121" s="292" t="s">
        <v>420</v>
      </c>
      <c r="C121" s="279"/>
    </row>
    <row r="122" spans="1:3" ht="12" customHeight="1" x14ac:dyDescent="0.25">
      <c r="A122" s="15" t="s">
        <v>113</v>
      </c>
      <c r="B122" s="421" t="s">
        <v>361</v>
      </c>
      <c r="C122" s="279"/>
    </row>
    <row r="123" spans="1:3" x14ac:dyDescent="0.25">
      <c r="A123" s="15" t="s">
        <v>177</v>
      </c>
      <c r="B123" s="150" t="s">
        <v>344</v>
      </c>
      <c r="C123" s="279"/>
    </row>
    <row r="124" spans="1:3" ht="12" customHeight="1" x14ac:dyDescent="0.25">
      <c r="A124" s="15" t="s">
        <v>178</v>
      </c>
      <c r="B124" s="150" t="s">
        <v>360</v>
      </c>
      <c r="C124" s="279"/>
    </row>
    <row r="125" spans="1:3" ht="12" customHeight="1" x14ac:dyDescent="0.25">
      <c r="A125" s="15" t="s">
        <v>179</v>
      </c>
      <c r="B125" s="150" t="s">
        <v>359</v>
      </c>
      <c r="C125" s="279"/>
    </row>
    <row r="126" spans="1:3" ht="12" customHeight="1" x14ac:dyDescent="0.25">
      <c r="A126" s="15" t="s">
        <v>352</v>
      </c>
      <c r="B126" s="150" t="s">
        <v>347</v>
      </c>
      <c r="C126" s="279"/>
    </row>
    <row r="127" spans="1:3" ht="12" customHeight="1" x14ac:dyDescent="0.25">
      <c r="A127" s="15" t="s">
        <v>353</v>
      </c>
      <c r="B127" s="150" t="s">
        <v>358</v>
      </c>
      <c r="C127" s="279"/>
    </row>
    <row r="128" spans="1:3" ht="16.5" thickBot="1" x14ac:dyDescent="0.3">
      <c r="A128" s="13" t="s">
        <v>354</v>
      </c>
      <c r="B128" s="150" t="s">
        <v>357</v>
      </c>
      <c r="C128" s="281"/>
    </row>
    <row r="129" spans="1:3" ht="12" customHeight="1" thickBot="1" x14ac:dyDescent="0.3">
      <c r="A129" s="20" t="s">
        <v>17</v>
      </c>
      <c r="B129" s="132" t="s">
        <v>440</v>
      </c>
      <c r="C129" s="296">
        <f>+C94+C115</f>
        <v>27173582</v>
      </c>
    </row>
    <row r="130" spans="1:3" ht="12" customHeight="1" thickBot="1" x14ac:dyDescent="0.3">
      <c r="A130" s="20" t="s">
        <v>18</v>
      </c>
      <c r="B130" s="132" t="s">
        <v>441</v>
      </c>
      <c r="C130" s="296">
        <f>+C131+C132+C133</f>
        <v>0</v>
      </c>
    </row>
    <row r="131" spans="1:3" ht="12" customHeight="1" x14ac:dyDescent="0.25">
      <c r="A131" s="15" t="s">
        <v>256</v>
      </c>
      <c r="B131" s="12" t="s">
        <v>448</v>
      </c>
      <c r="C131" s="279"/>
    </row>
    <row r="132" spans="1:3" ht="12" customHeight="1" x14ac:dyDescent="0.25">
      <c r="A132" s="15" t="s">
        <v>257</v>
      </c>
      <c r="B132" s="12" t="s">
        <v>449</v>
      </c>
      <c r="C132" s="279"/>
    </row>
    <row r="133" spans="1:3" ht="12" customHeight="1" thickBot="1" x14ac:dyDescent="0.3">
      <c r="A133" s="13" t="s">
        <v>258</v>
      </c>
      <c r="B133" s="12" t="s">
        <v>450</v>
      </c>
      <c r="C133" s="279"/>
    </row>
    <row r="134" spans="1:3" ht="12" customHeight="1" thickBot="1" x14ac:dyDescent="0.3">
      <c r="A134" s="20" t="s">
        <v>19</v>
      </c>
      <c r="B134" s="132" t="s">
        <v>442</v>
      </c>
      <c r="C134" s="296">
        <f>SUM(C135:C140)</f>
        <v>0</v>
      </c>
    </row>
    <row r="135" spans="1:3" ht="12" customHeight="1" x14ac:dyDescent="0.25">
      <c r="A135" s="15" t="s">
        <v>85</v>
      </c>
      <c r="B135" s="9" t="s">
        <v>451</v>
      </c>
      <c r="C135" s="279"/>
    </row>
    <row r="136" spans="1:3" ht="12" customHeight="1" x14ac:dyDescent="0.25">
      <c r="A136" s="15" t="s">
        <v>86</v>
      </c>
      <c r="B136" s="9" t="s">
        <v>443</v>
      </c>
      <c r="C136" s="279"/>
    </row>
    <row r="137" spans="1:3" ht="12" customHeight="1" x14ac:dyDescent="0.25">
      <c r="A137" s="15" t="s">
        <v>87</v>
      </c>
      <c r="B137" s="9" t="s">
        <v>444</v>
      </c>
      <c r="C137" s="279"/>
    </row>
    <row r="138" spans="1:3" ht="12" customHeight="1" x14ac:dyDescent="0.25">
      <c r="A138" s="15" t="s">
        <v>164</v>
      </c>
      <c r="B138" s="9" t="s">
        <v>445</v>
      </c>
      <c r="C138" s="279"/>
    </row>
    <row r="139" spans="1:3" ht="12" customHeight="1" x14ac:dyDescent="0.25">
      <c r="A139" s="15" t="s">
        <v>165</v>
      </c>
      <c r="B139" s="9" t="s">
        <v>446</v>
      </c>
      <c r="C139" s="279"/>
    </row>
    <row r="140" spans="1:3" ht="12" customHeight="1" thickBot="1" x14ac:dyDescent="0.3">
      <c r="A140" s="13" t="s">
        <v>166</v>
      </c>
      <c r="B140" s="9" t="s">
        <v>447</v>
      </c>
      <c r="C140" s="279"/>
    </row>
    <row r="141" spans="1:3" ht="12" customHeight="1" thickBot="1" x14ac:dyDescent="0.3">
      <c r="A141" s="20" t="s">
        <v>20</v>
      </c>
      <c r="B141" s="132" t="s">
        <v>455</v>
      </c>
      <c r="C141" s="302">
        <f>+C142+C143+C144+C145</f>
        <v>0</v>
      </c>
    </row>
    <row r="142" spans="1:3" ht="12" customHeight="1" x14ac:dyDescent="0.25">
      <c r="A142" s="15" t="s">
        <v>88</v>
      </c>
      <c r="B142" s="9" t="s">
        <v>362</v>
      </c>
      <c r="C142" s="279"/>
    </row>
    <row r="143" spans="1:3" ht="12" customHeight="1" x14ac:dyDescent="0.25">
      <c r="A143" s="15" t="s">
        <v>89</v>
      </c>
      <c r="B143" s="9" t="s">
        <v>363</v>
      </c>
      <c r="C143" s="279"/>
    </row>
    <row r="144" spans="1:3" ht="12" customHeight="1" x14ac:dyDescent="0.25">
      <c r="A144" s="15" t="s">
        <v>276</v>
      </c>
      <c r="B144" s="9" t="s">
        <v>456</v>
      </c>
      <c r="C144" s="279"/>
    </row>
    <row r="145" spans="1:9" ht="12" customHeight="1" thickBot="1" x14ac:dyDescent="0.3">
      <c r="A145" s="13" t="s">
        <v>277</v>
      </c>
      <c r="B145" s="7" t="s">
        <v>382</v>
      </c>
      <c r="C145" s="279"/>
    </row>
    <row r="146" spans="1:9" ht="12" customHeight="1" thickBot="1" x14ac:dyDescent="0.3">
      <c r="A146" s="20" t="s">
        <v>21</v>
      </c>
      <c r="B146" s="132" t="s">
        <v>457</v>
      </c>
      <c r="C146" s="305">
        <f>SUM(C147:C151)</f>
        <v>0</v>
      </c>
    </row>
    <row r="147" spans="1:9" ht="12" customHeight="1" x14ac:dyDescent="0.25">
      <c r="A147" s="15" t="s">
        <v>90</v>
      </c>
      <c r="B147" s="9" t="s">
        <v>452</v>
      </c>
      <c r="C147" s="279"/>
    </row>
    <row r="148" spans="1:9" ht="12" customHeight="1" x14ac:dyDescent="0.25">
      <c r="A148" s="15" t="s">
        <v>91</v>
      </c>
      <c r="B148" s="9" t="s">
        <v>459</v>
      </c>
      <c r="C148" s="279"/>
    </row>
    <row r="149" spans="1:9" ht="12" customHeight="1" x14ac:dyDescent="0.25">
      <c r="A149" s="15" t="s">
        <v>288</v>
      </c>
      <c r="B149" s="9" t="s">
        <v>454</v>
      </c>
      <c r="C149" s="279"/>
    </row>
    <row r="150" spans="1:9" ht="12" customHeight="1" x14ac:dyDescent="0.25">
      <c r="A150" s="15" t="s">
        <v>289</v>
      </c>
      <c r="B150" s="9" t="s">
        <v>460</v>
      </c>
      <c r="C150" s="279"/>
    </row>
    <row r="151" spans="1:9" ht="12" customHeight="1" thickBot="1" x14ac:dyDescent="0.3">
      <c r="A151" s="15" t="s">
        <v>458</v>
      </c>
      <c r="B151" s="9" t="s">
        <v>461</v>
      </c>
      <c r="C151" s="279"/>
    </row>
    <row r="152" spans="1:9" ht="12" customHeight="1" thickBot="1" x14ac:dyDescent="0.3">
      <c r="A152" s="20" t="s">
        <v>22</v>
      </c>
      <c r="B152" s="132" t="s">
        <v>462</v>
      </c>
      <c r="C152" s="493"/>
    </row>
    <row r="153" spans="1:9" ht="12" customHeight="1" thickBot="1" x14ac:dyDescent="0.3">
      <c r="A153" s="20" t="s">
        <v>23</v>
      </c>
      <c r="B153" s="132" t="s">
        <v>463</v>
      </c>
      <c r="C153" s="493"/>
    </row>
    <row r="154" spans="1:9" ht="15" customHeight="1" thickBot="1" x14ac:dyDescent="0.3">
      <c r="A154" s="20" t="s">
        <v>24</v>
      </c>
      <c r="B154" s="132" t="s">
        <v>465</v>
      </c>
      <c r="C154" s="435">
        <f>+C130+C134+C141+C146+C152+C153</f>
        <v>0</v>
      </c>
      <c r="F154" s="436"/>
      <c r="G154" s="437"/>
      <c r="H154" s="437"/>
      <c r="I154" s="437"/>
    </row>
    <row r="155" spans="1:9" s="424" customFormat="1" ht="12.95" customHeight="1" thickBot="1" x14ac:dyDescent="0.25">
      <c r="A155" s="294" t="s">
        <v>25</v>
      </c>
      <c r="B155" s="387" t="s">
        <v>464</v>
      </c>
      <c r="C155" s="435">
        <f>+C129+C154</f>
        <v>27173582</v>
      </c>
    </row>
    <row r="156" spans="1:9" ht="7.5" customHeight="1" x14ac:dyDescent="0.25"/>
    <row r="157" spans="1:9" x14ac:dyDescent="0.25">
      <c r="A157" s="678" t="s">
        <v>364</v>
      </c>
      <c r="B157" s="678"/>
      <c r="C157" s="678"/>
    </row>
    <row r="158" spans="1:9" ht="15" customHeight="1" thickBot="1" x14ac:dyDescent="0.3">
      <c r="A158" s="676" t="s">
        <v>147</v>
      </c>
      <c r="B158" s="676"/>
      <c r="C158" s="306" t="s">
        <v>215</v>
      </c>
    </row>
    <row r="159" spans="1:9" ht="13.5" customHeight="1" thickBot="1" x14ac:dyDescent="0.3">
      <c r="A159" s="20">
        <v>1</v>
      </c>
      <c r="B159" s="27" t="s">
        <v>466</v>
      </c>
      <c r="C159" s="296">
        <f>+C63-C129</f>
        <v>-27173582</v>
      </c>
      <c r="D159" s="438"/>
    </row>
    <row r="160" spans="1:9" ht="27.75" customHeight="1" thickBot="1" x14ac:dyDescent="0.3">
      <c r="A160" s="20" t="s">
        <v>16</v>
      </c>
      <c r="B160" s="27" t="s">
        <v>559</v>
      </c>
      <c r="C160" s="296">
        <f>+C87-C154</f>
        <v>0</v>
      </c>
    </row>
  </sheetData>
  <mergeCells count="6">
    <mergeCell ref="A158:B158"/>
    <mergeCell ref="A1:C1"/>
    <mergeCell ref="A2:B2"/>
    <mergeCell ref="A90:C90"/>
    <mergeCell ref="A91:B91"/>
    <mergeCell ref="A157:C15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
ÁLLAMIGAZGATÁSI FELADATAINAK MÉRLEGE
&amp;R&amp;"Times New Roman CE,Félkövér dőlt"&amp;11 1.4. melléklet a .../2019. (....) önkormányzati rendelethez</oddHeader>
  </headerFooter>
  <rowBreaks count="1" manualBreakCount="1">
    <brk id="88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3"/>
  <sheetViews>
    <sheetView tabSelected="1" view="pageBreakPreview" zoomScaleNormal="115" zoomScaleSheetLayoutView="100" workbookViewId="0">
      <selection activeCell="C21" sqref="C21"/>
    </sheetView>
  </sheetViews>
  <sheetFormatPr defaultColWidth="9.33203125" defaultRowHeight="12.75" x14ac:dyDescent="0.2"/>
  <cols>
    <col min="1" max="1" width="6.83203125" style="58" customWidth="1"/>
    <col min="2" max="2" width="55.1640625" style="197" customWidth="1"/>
    <col min="3" max="3" width="16.33203125" style="58" customWidth="1"/>
    <col min="4" max="4" width="55.1640625" style="58" customWidth="1"/>
    <col min="5" max="5" width="16.33203125" style="58" customWidth="1"/>
    <col min="6" max="6" width="4.83203125" style="58" customWidth="1"/>
    <col min="7" max="7" width="9.33203125" style="58"/>
    <col min="8" max="8" width="10.33203125" style="58" bestFit="1" customWidth="1"/>
    <col min="9" max="16384" width="9.33203125" style="58"/>
  </cols>
  <sheetData>
    <row r="1" spans="1:8" ht="39.75" customHeight="1" x14ac:dyDescent="0.2">
      <c r="B1" s="318" t="s">
        <v>151</v>
      </c>
      <c r="C1" s="319"/>
      <c r="D1" s="319"/>
      <c r="E1" s="319"/>
      <c r="F1" s="681" t="str">
        <f>+CONCATENATE("2.1. melléklet a .../",LEFT(ÖSSZEFÜGGÉSEK!A5,4),". (.....) önkormányzati rendelethez")</f>
        <v>2.1. melléklet a .../2019. (.....) önkormányzati rendelethez</v>
      </c>
    </row>
    <row r="2" spans="1:8" ht="14.25" thickBot="1" x14ac:dyDescent="0.25">
      <c r="E2" s="320" t="s">
        <v>562</v>
      </c>
      <c r="F2" s="681"/>
    </row>
    <row r="3" spans="1:8" ht="18" customHeight="1" thickBot="1" x14ac:dyDescent="0.25">
      <c r="A3" s="679" t="s">
        <v>66</v>
      </c>
      <c r="B3" s="321" t="s">
        <v>53</v>
      </c>
      <c r="C3" s="322"/>
      <c r="D3" s="321" t="s">
        <v>54</v>
      </c>
      <c r="E3" s="323"/>
      <c r="F3" s="681"/>
    </row>
    <row r="4" spans="1:8" s="324" customFormat="1" ht="35.25" customHeight="1" thickBot="1" x14ac:dyDescent="0.25">
      <c r="A4" s="680"/>
      <c r="B4" s="198" t="s">
        <v>59</v>
      </c>
      <c r="C4" s="199" t="str">
        <f>+'1.1.sz.mell.'!C3</f>
        <v>2019. évi előirányzat</v>
      </c>
      <c r="D4" s="198" t="s">
        <v>59</v>
      </c>
      <c r="E4" s="55" t="str">
        <f>+C4</f>
        <v>2019. évi előirányzat</v>
      </c>
      <c r="F4" s="681"/>
    </row>
    <row r="5" spans="1:8" s="329" customFormat="1" ht="12" customHeight="1" thickBot="1" x14ac:dyDescent="0.25">
      <c r="A5" s="325"/>
      <c r="B5" s="326" t="s">
        <v>484</v>
      </c>
      <c r="C5" s="327" t="s">
        <v>485</v>
      </c>
      <c r="D5" s="326" t="s">
        <v>486</v>
      </c>
      <c r="E5" s="328" t="s">
        <v>488</v>
      </c>
      <c r="F5" s="681"/>
    </row>
    <row r="6" spans="1:8" ht="12.95" customHeight="1" x14ac:dyDescent="0.2">
      <c r="A6" s="330" t="s">
        <v>15</v>
      </c>
      <c r="B6" s="331" t="s">
        <v>365</v>
      </c>
      <c r="C6" s="307">
        <f>'1.1.sz.mell.'!C5</f>
        <v>494605474</v>
      </c>
      <c r="D6" s="331" t="s">
        <v>60</v>
      </c>
      <c r="E6" s="313">
        <f>'1.1.sz.mell.'!C95</f>
        <v>481794856</v>
      </c>
      <c r="F6" s="681"/>
    </row>
    <row r="7" spans="1:8" ht="12.95" customHeight="1" x14ac:dyDescent="0.2">
      <c r="A7" s="332" t="s">
        <v>16</v>
      </c>
      <c r="B7" s="333" t="s">
        <v>366</v>
      </c>
      <c r="C7" s="307">
        <f>'1.1.sz.mell.'!C12</f>
        <v>162530502</v>
      </c>
      <c r="D7" s="333" t="s">
        <v>172</v>
      </c>
      <c r="E7" s="313">
        <f>'1.1.sz.mell.'!C96</f>
        <v>85692446</v>
      </c>
      <c r="F7" s="681"/>
    </row>
    <row r="8" spans="1:8" ht="12.95" customHeight="1" x14ac:dyDescent="0.2">
      <c r="A8" s="332" t="s">
        <v>17</v>
      </c>
      <c r="B8" s="333" t="s">
        <v>387</v>
      </c>
      <c r="C8" s="308"/>
      <c r="D8" s="333" t="s">
        <v>220</v>
      </c>
      <c r="E8" s="313">
        <f>'1.1.sz.mell.'!C97</f>
        <v>325017026</v>
      </c>
      <c r="F8" s="681"/>
      <c r="H8" s="58">
        <v>67800000</v>
      </c>
    </row>
    <row r="9" spans="1:8" ht="12.95" customHeight="1" x14ac:dyDescent="0.2">
      <c r="A9" s="332" t="s">
        <v>18</v>
      </c>
      <c r="B9" s="333" t="s">
        <v>163</v>
      </c>
      <c r="C9" s="308">
        <f>'1.1.sz.mell.'!C26</f>
        <v>123575000</v>
      </c>
      <c r="D9" s="333" t="s">
        <v>173</v>
      </c>
      <c r="E9" s="313">
        <f>'1.1.sz.mell.'!C98</f>
        <v>25982000</v>
      </c>
      <c r="F9" s="681"/>
      <c r="H9" s="58">
        <v>40000</v>
      </c>
    </row>
    <row r="10" spans="1:8" ht="12.95" customHeight="1" x14ac:dyDescent="0.2">
      <c r="A10" s="332" t="s">
        <v>19</v>
      </c>
      <c r="B10" s="334" t="s">
        <v>413</v>
      </c>
      <c r="C10" s="308">
        <f>'1.1.sz.mell.'!C35</f>
        <v>78737303</v>
      </c>
      <c r="D10" s="333" t="s">
        <v>174</v>
      </c>
      <c r="E10" s="313">
        <f>'1.1.sz.mell.'!C99</f>
        <v>25683749</v>
      </c>
      <c r="F10" s="681"/>
      <c r="H10" s="58">
        <v>13500000</v>
      </c>
    </row>
    <row r="11" spans="1:8" ht="12.95" customHeight="1" x14ac:dyDescent="0.2">
      <c r="A11" s="332" t="s">
        <v>20</v>
      </c>
      <c r="B11" s="333" t="s">
        <v>367</v>
      </c>
      <c r="C11" s="309">
        <f>'1.1.sz.mell.'!C53</f>
        <v>0</v>
      </c>
      <c r="D11" s="333" t="s">
        <v>47</v>
      </c>
      <c r="E11" s="313">
        <f>'1.1.sz.mell.'!C114</f>
        <v>294222432</v>
      </c>
      <c r="F11" s="681"/>
      <c r="H11" s="58">
        <v>15200000</v>
      </c>
    </row>
    <row r="12" spans="1:8" ht="12.95" customHeight="1" x14ac:dyDescent="0.2">
      <c r="A12" s="332" t="s">
        <v>21</v>
      </c>
      <c r="B12" s="333" t="s">
        <v>472</v>
      </c>
      <c r="C12" s="308"/>
      <c r="D12" s="48"/>
      <c r="E12" s="314"/>
      <c r="F12" s="681"/>
      <c r="H12" s="58">
        <f>SUM(H8:H11)</f>
        <v>96540000</v>
      </c>
    </row>
    <row r="13" spans="1:8" ht="12.95" customHeight="1" x14ac:dyDescent="0.2">
      <c r="A13" s="332" t="s">
        <v>22</v>
      </c>
      <c r="B13" s="48"/>
      <c r="C13" s="308"/>
      <c r="D13" s="48"/>
      <c r="E13" s="314"/>
      <c r="F13" s="681"/>
    </row>
    <row r="14" spans="1:8" ht="12.95" customHeight="1" x14ac:dyDescent="0.2">
      <c r="A14" s="332" t="s">
        <v>23</v>
      </c>
      <c r="B14" s="439"/>
      <c r="C14" s="309"/>
      <c r="D14" s="48"/>
      <c r="E14" s="314"/>
      <c r="F14" s="681"/>
    </row>
    <row r="15" spans="1:8" ht="12.95" customHeight="1" x14ac:dyDescent="0.2">
      <c r="A15" s="332" t="s">
        <v>24</v>
      </c>
      <c r="B15" s="48"/>
      <c r="C15" s="308"/>
      <c r="D15" s="48"/>
      <c r="E15" s="314"/>
      <c r="F15" s="681"/>
    </row>
    <row r="16" spans="1:8" ht="12.95" customHeight="1" x14ac:dyDescent="0.2">
      <c r="A16" s="332" t="s">
        <v>25</v>
      </c>
      <c r="B16" s="48"/>
      <c r="C16" s="308"/>
      <c r="D16" s="48"/>
      <c r="E16" s="314"/>
      <c r="F16" s="681"/>
    </row>
    <row r="17" spans="1:6" ht="12.95" customHeight="1" thickBot="1" x14ac:dyDescent="0.25">
      <c r="A17" s="332" t="s">
        <v>26</v>
      </c>
      <c r="B17" s="60"/>
      <c r="C17" s="310"/>
      <c r="D17" s="48"/>
      <c r="E17" s="315"/>
      <c r="F17" s="681"/>
    </row>
    <row r="18" spans="1:6" ht="15.95" customHeight="1" thickBot="1" x14ac:dyDescent="0.25">
      <c r="A18" s="335" t="s">
        <v>27</v>
      </c>
      <c r="B18" s="134" t="s">
        <v>473</v>
      </c>
      <c r="C18" s="311">
        <f>SUM(C6:C17)</f>
        <v>859448279</v>
      </c>
      <c r="D18" s="134" t="s">
        <v>373</v>
      </c>
      <c r="E18" s="316">
        <f>SUM(E6:E17)</f>
        <v>1238392509</v>
      </c>
      <c r="F18" s="681"/>
    </row>
    <row r="19" spans="1:6" ht="12.95" customHeight="1" x14ac:dyDescent="0.2">
      <c r="A19" s="336" t="s">
        <v>28</v>
      </c>
      <c r="B19" s="337" t="s">
        <v>370</v>
      </c>
      <c r="C19" s="495">
        <f>+C20+C21+C22+C23</f>
        <v>396392567</v>
      </c>
      <c r="D19" s="338" t="s">
        <v>180</v>
      </c>
      <c r="E19" s="317"/>
      <c r="F19" s="681"/>
    </row>
    <row r="20" spans="1:6" ht="12.95" customHeight="1" x14ac:dyDescent="0.2">
      <c r="A20" s="339" t="s">
        <v>29</v>
      </c>
      <c r="B20" s="338" t="s">
        <v>212</v>
      </c>
      <c r="C20" s="79">
        <f>118172791-1690365+14574034+27000+267029128-2650567</f>
        <v>395462021</v>
      </c>
      <c r="D20" s="338" t="s">
        <v>372</v>
      </c>
      <c r="E20" s="80"/>
      <c r="F20" s="681"/>
    </row>
    <row r="21" spans="1:6" ht="12.95" customHeight="1" x14ac:dyDescent="0.2">
      <c r="A21" s="339" t="s">
        <v>30</v>
      </c>
      <c r="B21" s="338" t="s">
        <v>213</v>
      </c>
      <c r="C21" s="79">
        <f>+'1.1.sz.mell.'!C75</f>
        <v>930546</v>
      </c>
      <c r="D21" s="338" t="s">
        <v>149</v>
      </c>
      <c r="E21" s="80"/>
      <c r="F21" s="681"/>
    </row>
    <row r="22" spans="1:6" ht="12.95" customHeight="1" x14ac:dyDescent="0.2">
      <c r="A22" s="339" t="s">
        <v>31</v>
      </c>
      <c r="B22" s="338" t="s">
        <v>218</v>
      </c>
      <c r="C22" s="79"/>
      <c r="D22" s="338" t="s">
        <v>150</v>
      </c>
      <c r="E22" s="80"/>
      <c r="F22" s="681"/>
    </row>
    <row r="23" spans="1:6" ht="12.95" customHeight="1" x14ac:dyDescent="0.2">
      <c r="A23" s="339" t="s">
        <v>32</v>
      </c>
      <c r="B23" s="338" t="s">
        <v>219</v>
      </c>
      <c r="C23" s="79"/>
      <c r="D23" s="337" t="s">
        <v>221</v>
      </c>
      <c r="E23" s="80"/>
      <c r="F23" s="681"/>
    </row>
    <row r="24" spans="1:6" ht="12.95" customHeight="1" x14ac:dyDescent="0.2">
      <c r="A24" s="339" t="s">
        <v>33</v>
      </c>
      <c r="B24" s="338" t="s">
        <v>371</v>
      </c>
      <c r="C24" s="340">
        <f>+C25+C26</f>
        <v>0</v>
      </c>
      <c r="D24" s="338" t="s">
        <v>181</v>
      </c>
      <c r="E24" s="80"/>
      <c r="F24" s="681"/>
    </row>
    <row r="25" spans="1:6" ht="12.95" customHeight="1" x14ac:dyDescent="0.2">
      <c r="A25" s="336" t="s">
        <v>34</v>
      </c>
      <c r="B25" s="337" t="s">
        <v>368</v>
      </c>
      <c r="C25" s="312"/>
      <c r="D25" s="331" t="s">
        <v>456</v>
      </c>
      <c r="E25" s="317"/>
      <c r="F25" s="681"/>
    </row>
    <row r="26" spans="1:6" ht="12.95" customHeight="1" x14ac:dyDescent="0.2">
      <c r="A26" s="339" t="s">
        <v>35</v>
      </c>
      <c r="B26" s="338" t="s">
        <v>369</v>
      </c>
      <c r="C26" s="79"/>
      <c r="D26" s="333" t="s">
        <v>462</v>
      </c>
      <c r="E26" s="80"/>
      <c r="F26" s="681"/>
    </row>
    <row r="27" spans="1:6" ht="12.95" customHeight="1" x14ac:dyDescent="0.2">
      <c r="A27" s="332" t="s">
        <v>36</v>
      </c>
      <c r="B27" s="338" t="s">
        <v>467</v>
      </c>
      <c r="C27" s="79"/>
      <c r="D27" s="333" t="s">
        <v>463</v>
      </c>
      <c r="E27" s="80"/>
      <c r="F27" s="681"/>
    </row>
    <row r="28" spans="1:6" ht="12.95" customHeight="1" thickBot="1" x14ac:dyDescent="0.25">
      <c r="A28" s="401" t="s">
        <v>37</v>
      </c>
      <c r="B28" s="337" t="s">
        <v>326</v>
      </c>
      <c r="C28" s="312"/>
      <c r="D28" s="441" t="s">
        <v>363</v>
      </c>
      <c r="E28" s="317">
        <f>+'1.1.sz.mell.'!C143</f>
        <v>17448337</v>
      </c>
      <c r="F28" s="681"/>
    </row>
    <row r="29" spans="1:6" ht="15.95" customHeight="1" thickBot="1" x14ac:dyDescent="0.25">
      <c r="A29" s="335" t="s">
        <v>38</v>
      </c>
      <c r="B29" s="134" t="s">
        <v>474</v>
      </c>
      <c r="C29" s="311">
        <f>+C19+C24+C27+C28</f>
        <v>396392567</v>
      </c>
      <c r="D29" s="134" t="s">
        <v>476</v>
      </c>
      <c r="E29" s="316">
        <f>SUM(E19:E28)</f>
        <v>17448337</v>
      </c>
      <c r="F29" s="681"/>
    </row>
    <row r="30" spans="1:6" ht="13.5" thickBot="1" x14ac:dyDescent="0.25">
      <c r="A30" s="335" t="s">
        <v>39</v>
      </c>
      <c r="B30" s="341" t="s">
        <v>475</v>
      </c>
      <c r="C30" s="342">
        <f>+C18+C29</f>
        <v>1255840846</v>
      </c>
      <c r="D30" s="341" t="s">
        <v>477</v>
      </c>
      <c r="E30" s="342">
        <f>+E18+E29</f>
        <v>1255840846</v>
      </c>
      <c r="F30" s="681"/>
    </row>
    <row r="31" spans="1:6" ht="13.5" thickBot="1" x14ac:dyDescent="0.25">
      <c r="A31" s="335" t="s">
        <v>40</v>
      </c>
      <c r="B31" s="341" t="s">
        <v>158</v>
      </c>
      <c r="C31" s="342">
        <f>IF(C18-E18&lt;0,E18-C18,"-")</f>
        <v>378944230</v>
      </c>
      <c r="D31" s="341" t="s">
        <v>159</v>
      </c>
      <c r="E31" s="342" t="str">
        <f>IF(C18-E18&gt;0,C18-E18,"-")</f>
        <v>-</v>
      </c>
      <c r="F31" s="681"/>
    </row>
    <row r="32" spans="1:6" ht="13.5" thickBot="1" x14ac:dyDescent="0.25">
      <c r="A32" s="335" t="s">
        <v>41</v>
      </c>
      <c r="B32" s="341" t="s">
        <v>222</v>
      </c>
      <c r="C32" s="342" t="str">
        <f>IF(C18+C29-E30&lt;0,E30-(C18+C29),"-")</f>
        <v>-</v>
      </c>
      <c r="D32" s="341" t="s">
        <v>223</v>
      </c>
      <c r="E32" s="342" t="str">
        <f>IF(C18+C29-E30&gt;0,C18+C29-E30,"-")</f>
        <v>-</v>
      </c>
      <c r="F32" s="681"/>
    </row>
    <row r="33" spans="2:4" ht="18.75" x14ac:dyDescent="0.2">
      <c r="B33" s="682"/>
      <c r="C33" s="682"/>
      <c r="D33" s="682"/>
    </row>
  </sheetData>
  <mergeCells count="3">
    <mergeCell ref="A3:A4"/>
    <mergeCell ref="F1:F32"/>
    <mergeCell ref="B33:D33"/>
  </mergeCells>
  <phoneticPr fontId="0" type="noConversion"/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3"/>
  <sheetViews>
    <sheetView view="pageBreakPreview" topLeftCell="A4" zoomScale="115" zoomScaleNormal="100" zoomScaleSheetLayoutView="115" workbookViewId="0">
      <selection activeCell="C19" sqref="C19"/>
    </sheetView>
  </sheetViews>
  <sheetFormatPr defaultColWidth="9.33203125" defaultRowHeight="12.75" x14ac:dyDescent="0.2"/>
  <cols>
    <col min="1" max="1" width="6.83203125" style="58" customWidth="1"/>
    <col min="2" max="2" width="55.1640625" style="197" customWidth="1"/>
    <col min="3" max="3" width="16.33203125" style="58" customWidth="1"/>
    <col min="4" max="4" width="55.1640625" style="58" customWidth="1"/>
    <col min="5" max="5" width="16.33203125" style="58" customWidth="1"/>
    <col min="6" max="6" width="4.83203125" style="58" customWidth="1"/>
    <col min="7" max="16384" width="9.33203125" style="58"/>
  </cols>
  <sheetData>
    <row r="1" spans="1:6" ht="31.5" x14ac:dyDescent="0.2">
      <c r="B1" s="318" t="s">
        <v>152</v>
      </c>
      <c r="C1" s="319"/>
      <c r="D1" s="319"/>
      <c r="E1" s="319"/>
      <c r="F1" s="681" t="str">
        <f>+CONCATENATE("2.2. melléklet a .../",LEFT(ÖSSZEFÜGGÉSEK!A5,4),". (…..) önkormányzati rendelethez")</f>
        <v>2.2. melléklet a .../2019. (…..) önkormányzati rendelethez</v>
      </c>
    </row>
    <row r="2" spans="1:6" ht="14.25" thickBot="1" x14ac:dyDescent="0.25">
      <c r="E2" s="320" t="s">
        <v>604</v>
      </c>
      <c r="F2" s="681"/>
    </row>
    <row r="3" spans="1:6" ht="13.5" thickBot="1" x14ac:dyDescent="0.25">
      <c r="A3" s="683" t="s">
        <v>66</v>
      </c>
      <c r="B3" s="321" t="s">
        <v>53</v>
      </c>
      <c r="C3" s="322"/>
      <c r="D3" s="321" t="s">
        <v>54</v>
      </c>
      <c r="E3" s="323"/>
      <c r="F3" s="681"/>
    </row>
    <row r="4" spans="1:6" s="324" customFormat="1" ht="24.75" thickBot="1" x14ac:dyDescent="0.25">
      <c r="A4" s="684"/>
      <c r="B4" s="198" t="s">
        <v>59</v>
      </c>
      <c r="C4" s="199" t="str">
        <f>+'2.1.sz.mell  '!C4</f>
        <v>2019. évi előirányzat</v>
      </c>
      <c r="D4" s="198" t="s">
        <v>59</v>
      </c>
      <c r="E4" s="55" t="str">
        <f>+'2.1.sz.mell  '!C4</f>
        <v>2019. évi előirányzat</v>
      </c>
      <c r="F4" s="681"/>
    </row>
    <row r="5" spans="1:6" s="324" customFormat="1" ht="13.5" thickBot="1" x14ac:dyDescent="0.25">
      <c r="A5" s="325"/>
      <c r="B5" s="326" t="s">
        <v>484</v>
      </c>
      <c r="C5" s="327" t="s">
        <v>485</v>
      </c>
      <c r="D5" s="326" t="s">
        <v>486</v>
      </c>
      <c r="E5" s="328" t="s">
        <v>488</v>
      </c>
      <c r="F5" s="681"/>
    </row>
    <row r="6" spans="1:6" ht="12.95" customHeight="1" x14ac:dyDescent="0.2">
      <c r="A6" s="330" t="s">
        <v>15</v>
      </c>
      <c r="B6" s="331" t="s">
        <v>374</v>
      </c>
      <c r="C6" s="307">
        <f>'1.1.sz.mell.'!C19</f>
        <v>17831266</v>
      </c>
      <c r="D6" s="331" t="s">
        <v>214</v>
      </c>
      <c r="E6" s="313">
        <f>'1.1.sz.mell.'!C116</f>
        <v>598607962</v>
      </c>
      <c r="F6" s="681"/>
    </row>
    <row r="7" spans="1:6" x14ac:dyDescent="0.2">
      <c r="A7" s="332" t="s">
        <v>16</v>
      </c>
      <c r="B7" s="333" t="s">
        <v>375</v>
      </c>
      <c r="C7" s="308"/>
      <c r="D7" s="333" t="s">
        <v>380</v>
      </c>
      <c r="E7" s="314"/>
      <c r="F7" s="681"/>
    </row>
    <row r="8" spans="1:6" ht="12.95" customHeight="1" x14ac:dyDescent="0.2">
      <c r="A8" s="332" t="s">
        <v>17</v>
      </c>
      <c r="B8" s="333" t="s">
        <v>6</v>
      </c>
      <c r="C8" s="308">
        <f>'1.1.sz.mell.'!C47</f>
        <v>57540240</v>
      </c>
      <c r="D8" s="333" t="s">
        <v>176</v>
      </c>
      <c r="E8" s="314">
        <f>'1.1.sz.mell.'!C118</f>
        <v>24990932</v>
      </c>
      <c r="F8" s="681"/>
    </row>
    <row r="9" spans="1:6" ht="12.95" customHeight="1" x14ac:dyDescent="0.2">
      <c r="A9" s="332" t="s">
        <v>18</v>
      </c>
      <c r="B9" s="333" t="s">
        <v>376</v>
      </c>
      <c r="C9" s="308">
        <f>'1.1.sz.mell.'!C58</f>
        <v>410000</v>
      </c>
      <c r="D9" s="333" t="s">
        <v>381</v>
      </c>
      <c r="E9" s="314"/>
      <c r="F9" s="681"/>
    </row>
    <row r="10" spans="1:6" ht="12.75" customHeight="1" x14ac:dyDescent="0.2">
      <c r="A10" s="332" t="s">
        <v>19</v>
      </c>
      <c r="B10" s="333" t="s">
        <v>377</v>
      </c>
      <c r="C10" s="308"/>
      <c r="D10" s="333" t="s">
        <v>217</v>
      </c>
      <c r="E10" s="314">
        <f>'1.1.sz.mell.'!C120</f>
        <v>1300000</v>
      </c>
      <c r="F10" s="681"/>
    </row>
    <row r="11" spans="1:6" ht="12.95" customHeight="1" x14ac:dyDescent="0.2">
      <c r="A11" s="332" t="s">
        <v>20</v>
      </c>
      <c r="B11" s="333" t="s">
        <v>378</v>
      </c>
      <c r="C11" s="309"/>
      <c r="D11" s="442"/>
      <c r="E11" s="314"/>
      <c r="F11" s="681"/>
    </row>
    <row r="12" spans="1:6" ht="12.95" customHeight="1" x14ac:dyDescent="0.2">
      <c r="A12" s="332" t="s">
        <v>21</v>
      </c>
      <c r="B12" s="48"/>
      <c r="C12" s="308"/>
      <c r="D12" s="442"/>
      <c r="E12" s="314"/>
      <c r="F12" s="681"/>
    </row>
    <row r="13" spans="1:6" ht="12.95" customHeight="1" x14ac:dyDescent="0.2">
      <c r="A13" s="332" t="s">
        <v>22</v>
      </c>
      <c r="B13" s="48"/>
      <c r="C13" s="308"/>
      <c r="D13" s="443"/>
      <c r="E13" s="314"/>
      <c r="F13" s="681"/>
    </row>
    <row r="14" spans="1:6" ht="12.95" customHeight="1" x14ac:dyDescent="0.2">
      <c r="A14" s="332" t="s">
        <v>23</v>
      </c>
      <c r="B14" s="440"/>
      <c r="C14" s="309"/>
      <c r="D14" s="442"/>
      <c r="E14" s="314"/>
      <c r="F14" s="681"/>
    </row>
    <row r="15" spans="1:6" x14ac:dyDescent="0.2">
      <c r="A15" s="332" t="s">
        <v>24</v>
      </c>
      <c r="B15" s="48"/>
      <c r="C15" s="309"/>
      <c r="D15" s="442"/>
      <c r="E15" s="314"/>
      <c r="F15" s="681"/>
    </row>
    <row r="16" spans="1:6" ht="12.95" customHeight="1" thickBot="1" x14ac:dyDescent="0.25">
      <c r="A16" s="401" t="s">
        <v>25</v>
      </c>
      <c r="B16" s="441"/>
      <c r="C16" s="403"/>
      <c r="D16" s="402" t="s">
        <v>47</v>
      </c>
      <c r="E16" s="363"/>
      <c r="F16" s="681"/>
    </row>
    <row r="17" spans="1:6" ht="15.95" customHeight="1" thickBot="1" x14ac:dyDescent="0.25">
      <c r="A17" s="335" t="s">
        <v>26</v>
      </c>
      <c r="B17" s="134" t="s">
        <v>388</v>
      </c>
      <c r="C17" s="311">
        <f>+C6+C8+C9+C11+C12+C13+C14+C15+C16</f>
        <v>75781506</v>
      </c>
      <c r="D17" s="134" t="s">
        <v>389</v>
      </c>
      <c r="E17" s="316">
        <f>+E6+E8+E10+E11+E12+E13+E14+E15+E16</f>
        <v>624898894</v>
      </c>
      <c r="F17" s="681"/>
    </row>
    <row r="18" spans="1:6" ht="12.95" customHeight="1" x14ac:dyDescent="0.2">
      <c r="A18" s="330" t="s">
        <v>27</v>
      </c>
      <c r="B18" s="345" t="s">
        <v>235</v>
      </c>
      <c r="C18" s="352">
        <f>+C19+C20+C21+C22+C23</f>
        <v>556100398</v>
      </c>
      <c r="D18" s="338" t="s">
        <v>180</v>
      </c>
      <c r="E18" s="77"/>
      <c r="F18" s="681"/>
    </row>
    <row r="19" spans="1:6" ht="12.95" customHeight="1" x14ac:dyDescent="0.2">
      <c r="A19" s="332" t="s">
        <v>28</v>
      </c>
      <c r="B19" s="346" t="s">
        <v>224</v>
      </c>
      <c r="C19" s="79">
        <f>'1.1.sz.mell.'!C74-'2.1.sz.mell  '!C20</f>
        <v>556100398</v>
      </c>
      <c r="D19" s="338" t="s">
        <v>183</v>
      </c>
      <c r="E19" s="80"/>
      <c r="F19" s="681"/>
    </row>
    <row r="20" spans="1:6" ht="12.95" customHeight="1" x14ac:dyDescent="0.2">
      <c r="A20" s="330" t="s">
        <v>29</v>
      </c>
      <c r="B20" s="346" t="s">
        <v>225</v>
      </c>
      <c r="C20" s="79"/>
      <c r="D20" s="338" t="s">
        <v>149</v>
      </c>
      <c r="E20" s="80"/>
      <c r="F20" s="681"/>
    </row>
    <row r="21" spans="1:6" ht="12.95" customHeight="1" x14ac:dyDescent="0.2">
      <c r="A21" s="332" t="s">
        <v>30</v>
      </c>
      <c r="B21" s="346" t="s">
        <v>226</v>
      </c>
      <c r="C21" s="79"/>
      <c r="D21" s="338" t="s">
        <v>150</v>
      </c>
      <c r="E21" s="80">
        <f>'1.1.sz.mell.'!C131</f>
        <v>5864000</v>
      </c>
      <c r="F21" s="681"/>
    </row>
    <row r="22" spans="1:6" ht="12.95" customHeight="1" x14ac:dyDescent="0.2">
      <c r="A22" s="330" t="s">
        <v>31</v>
      </c>
      <c r="B22" s="346" t="s">
        <v>227</v>
      </c>
      <c r="C22" s="79"/>
      <c r="D22" s="337" t="s">
        <v>221</v>
      </c>
      <c r="E22" s="80"/>
      <c r="F22" s="681"/>
    </row>
    <row r="23" spans="1:6" ht="12.95" customHeight="1" x14ac:dyDescent="0.2">
      <c r="A23" s="332" t="s">
        <v>32</v>
      </c>
      <c r="B23" s="347" t="s">
        <v>228</v>
      </c>
      <c r="C23" s="79"/>
      <c r="D23" s="338" t="s">
        <v>184</v>
      </c>
      <c r="E23" s="80"/>
      <c r="F23" s="681"/>
    </row>
    <row r="24" spans="1:6" ht="12.95" customHeight="1" x14ac:dyDescent="0.2">
      <c r="A24" s="330" t="s">
        <v>33</v>
      </c>
      <c r="B24" s="348" t="s">
        <v>229</v>
      </c>
      <c r="C24" s="340">
        <f>+C25+C26+C27+C28+C29</f>
        <v>0</v>
      </c>
      <c r="D24" s="349" t="s">
        <v>182</v>
      </c>
      <c r="E24" s="80"/>
      <c r="F24" s="681"/>
    </row>
    <row r="25" spans="1:6" ht="12.95" customHeight="1" x14ac:dyDescent="0.2">
      <c r="A25" s="332" t="s">
        <v>34</v>
      </c>
      <c r="B25" s="347" t="s">
        <v>230</v>
      </c>
      <c r="C25" s="79">
        <f>'1.1.sz.mell.'!C65</f>
        <v>0</v>
      </c>
      <c r="D25" s="349" t="s">
        <v>382</v>
      </c>
      <c r="E25" s="80">
        <f>'1.1.sz.mell.'!C145</f>
        <v>1119010</v>
      </c>
      <c r="F25" s="681"/>
    </row>
    <row r="26" spans="1:6" ht="12.95" customHeight="1" x14ac:dyDescent="0.2">
      <c r="A26" s="330" t="s">
        <v>35</v>
      </c>
      <c r="B26" s="347" t="s">
        <v>231</v>
      </c>
      <c r="C26" s="79"/>
      <c r="D26" s="344"/>
      <c r="E26" s="80"/>
      <c r="F26" s="681"/>
    </row>
    <row r="27" spans="1:6" ht="12.95" customHeight="1" x14ac:dyDescent="0.2">
      <c r="A27" s="332" t="s">
        <v>36</v>
      </c>
      <c r="B27" s="346" t="s">
        <v>232</v>
      </c>
      <c r="C27" s="79"/>
      <c r="D27" s="130"/>
      <c r="E27" s="80"/>
      <c r="F27" s="681"/>
    </row>
    <row r="28" spans="1:6" ht="12.95" customHeight="1" x14ac:dyDescent="0.2">
      <c r="A28" s="330" t="s">
        <v>37</v>
      </c>
      <c r="B28" s="350" t="s">
        <v>233</v>
      </c>
      <c r="C28" s="79"/>
      <c r="D28" s="48"/>
      <c r="E28" s="80"/>
      <c r="F28" s="681"/>
    </row>
    <row r="29" spans="1:6" ht="12.95" customHeight="1" thickBot="1" x14ac:dyDescent="0.25">
      <c r="A29" s="332" t="s">
        <v>38</v>
      </c>
      <c r="B29" s="351" t="s">
        <v>234</v>
      </c>
      <c r="C29" s="79"/>
      <c r="D29" s="130"/>
      <c r="E29" s="80"/>
      <c r="F29" s="681"/>
    </row>
    <row r="30" spans="1:6" ht="21.75" customHeight="1" thickBot="1" x14ac:dyDescent="0.25">
      <c r="A30" s="335" t="s">
        <v>39</v>
      </c>
      <c r="B30" s="134" t="s">
        <v>379</v>
      </c>
      <c r="C30" s="311">
        <f>+C18+C24</f>
        <v>556100398</v>
      </c>
      <c r="D30" s="134" t="s">
        <v>383</v>
      </c>
      <c r="E30" s="316">
        <f>SUM(E18:E29)</f>
        <v>6983010</v>
      </c>
      <c r="F30" s="681"/>
    </row>
    <row r="31" spans="1:6" ht="13.5" thickBot="1" x14ac:dyDescent="0.25">
      <c r="A31" s="335" t="s">
        <v>40</v>
      </c>
      <c r="B31" s="341" t="s">
        <v>384</v>
      </c>
      <c r="C31" s="342">
        <f>+C17+C30</f>
        <v>631881904</v>
      </c>
      <c r="D31" s="341" t="s">
        <v>385</v>
      </c>
      <c r="E31" s="342">
        <f>+E17+E30</f>
        <v>631881904</v>
      </c>
      <c r="F31" s="681"/>
    </row>
    <row r="32" spans="1:6" ht="13.5" thickBot="1" x14ac:dyDescent="0.25">
      <c r="A32" s="335" t="s">
        <v>41</v>
      </c>
      <c r="B32" s="341" t="s">
        <v>158</v>
      </c>
      <c r="C32" s="342">
        <f>IF(C17-E17&lt;0,E17-C17,"-")</f>
        <v>549117388</v>
      </c>
      <c r="D32" s="341" t="s">
        <v>159</v>
      </c>
      <c r="E32" s="342" t="str">
        <f>IF(C17-E17&gt;0,C17-E17,"-")</f>
        <v>-</v>
      </c>
      <c r="F32" s="681"/>
    </row>
    <row r="33" spans="1:6" ht="13.5" thickBot="1" x14ac:dyDescent="0.25">
      <c r="A33" s="335" t="s">
        <v>42</v>
      </c>
      <c r="B33" s="341" t="s">
        <v>222</v>
      </c>
      <c r="C33" s="342" t="str">
        <f>IF(C17+C30-E26&lt;0,E26-(C17+C30),"-")</f>
        <v>-</v>
      </c>
      <c r="D33" s="341" t="s">
        <v>223</v>
      </c>
      <c r="E33" s="342">
        <f>IF(C17+C30-E26&gt;0,C17+C30-E26,"-")</f>
        <v>631881904</v>
      </c>
      <c r="F33" s="681"/>
    </row>
  </sheetData>
  <mergeCells count="2">
    <mergeCell ref="A3:A4"/>
    <mergeCell ref="F1:F33"/>
  </mergeCells>
  <phoneticPr fontId="0" type="noConversion"/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9"/>
  <sheetViews>
    <sheetView zoomScaleNormal="100" workbookViewId="0">
      <selection activeCell="A4" sqref="A4"/>
    </sheetView>
  </sheetViews>
  <sheetFormatPr defaultRowHeight="12.75" x14ac:dyDescent="0.2"/>
  <cols>
    <col min="1" max="1" width="46.33203125" customWidth="1"/>
    <col min="2" max="2" width="13.83203125" customWidth="1"/>
    <col min="3" max="3" width="66.1640625" customWidth="1"/>
    <col min="4" max="5" width="13.83203125" customWidth="1"/>
  </cols>
  <sheetData>
    <row r="1" spans="1:5" ht="18.75" x14ac:dyDescent="0.3">
      <c r="A1" s="135" t="s">
        <v>144</v>
      </c>
      <c r="E1" s="138" t="s">
        <v>148</v>
      </c>
    </row>
    <row r="3" spans="1:5" x14ac:dyDescent="0.2">
      <c r="A3" s="142"/>
      <c r="B3" s="143"/>
      <c r="C3" s="142"/>
      <c r="D3" s="145"/>
      <c r="E3" s="143"/>
    </row>
    <row r="4" spans="1:5" ht="15.75" x14ac:dyDescent="0.25">
      <c r="A4" s="89" t="str">
        <f>+ÖSSZEFÜGGÉSEK!A5</f>
        <v>2019. évi előirányzat BEVÉTELEK</v>
      </c>
      <c r="B4" s="144"/>
      <c r="C4" s="153"/>
      <c r="D4" s="145"/>
      <c r="E4" s="143"/>
    </row>
    <row r="5" spans="1:5" x14ac:dyDescent="0.2">
      <c r="A5" s="142"/>
      <c r="B5" s="143"/>
      <c r="C5" s="142"/>
      <c r="D5" s="145"/>
      <c r="E5" s="143"/>
    </row>
    <row r="6" spans="1:5" x14ac:dyDescent="0.2">
      <c r="A6" s="142" t="s">
        <v>532</v>
      </c>
      <c r="B6" s="143">
        <f>+'1.1.sz.mell.'!C63</f>
        <v>935229785</v>
      </c>
      <c r="C6" s="142" t="s">
        <v>478</v>
      </c>
      <c r="D6" s="145">
        <f>+'2.1.sz.mell  '!C18+'2.2.sz.mell  '!C17</f>
        <v>935229785</v>
      </c>
      <c r="E6" s="143">
        <f t="shared" ref="E6:E15" si="0">+B6-D6</f>
        <v>0</v>
      </c>
    </row>
    <row r="7" spans="1:5" x14ac:dyDescent="0.2">
      <c r="A7" s="142" t="s">
        <v>533</v>
      </c>
      <c r="B7" s="143">
        <f>+'1.1.sz.mell.'!C87</f>
        <v>952492965</v>
      </c>
      <c r="C7" s="142" t="s">
        <v>479</v>
      </c>
      <c r="D7" s="145">
        <f>+'2.1.sz.mell  '!C29+'2.2.sz.mell  '!C30</f>
        <v>952492965</v>
      </c>
      <c r="E7" s="143">
        <f t="shared" si="0"/>
        <v>0</v>
      </c>
    </row>
    <row r="8" spans="1:5" x14ac:dyDescent="0.2">
      <c r="A8" s="142" t="s">
        <v>534</v>
      </c>
      <c r="B8" s="143">
        <f>+'1.1.sz.mell.'!C88</f>
        <v>1887722750</v>
      </c>
      <c r="C8" s="142" t="s">
        <v>480</v>
      </c>
      <c r="D8" s="145">
        <f>+'2.1.sz.mell  '!C30+'2.2.sz.mell  '!C31</f>
        <v>1887722750</v>
      </c>
      <c r="E8" s="143">
        <f t="shared" si="0"/>
        <v>0</v>
      </c>
    </row>
    <row r="9" spans="1:5" x14ac:dyDescent="0.2">
      <c r="A9" s="142"/>
      <c r="B9" s="143"/>
      <c r="C9" s="142"/>
      <c r="D9" s="145"/>
      <c r="E9" s="143"/>
    </row>
    <row r="10" spans="1:5" x14ac:dyDescent="0.2">
      <c r="A10" s="142"/>
      <c r="B10" s="143"/>
      <c r="C10" s="142"/>
      <c r="D10" s="145"/>
      <c r="E10" s="143"/>
    </row>
    <row r="11" spans="1:5" ht="15.75" x14ac:dyDescent="0.25">
      <c r="A11" s="89" t="str">
        <f>+ÖSSZEFÜGGÉSEK!A12</f>
        <v>2019. évi előirányzat KIADÁSOK</v>
      </c>
      <c r="B11" s="144"/>
      <c r="C11" s="153"/>
      <c r="D11" s="145"/>
      <c r="E11" s="143"/>
    </row>
    <row r="12" spans="1:5" x14ac:dyDescent="0.2">
      <c r="A12" s="142"/>
      <c r="B12" s="143"/>
      <c r="C12" s="142"/>
      <c r="D12" s="145"/>
      <c r="E12" s="143"/>
    </row>
    <row r="13" spans="1:5" x14ac:dyDescent="0.2">
      <c r="A13" s="142" t="s">
        <v>535</v>
      </c>
      <c r="B13" s="143">
        <f>+'1.1.sz.mell.'!C129</f>
        <v>1863291403</v>
      </c>
      <c r="C13" s="142" t="s">
        <v>481</v>
      </c>
      <c r="D13" s="145">
        <f>+'2.1.sz.mell  '!E18+'2.2.sz.mell  '!E17</f>
        <v>1863291403</v>
      </c>
      <c r="E13" s="143">
        <f t="shared" si="0"/>
        <v>0</v>
      </c>
    </row>
    <row r="14" spans="1:5" x14ac:dyDescent="0.2">
      <c r="A14" s="142" t="s">
        <v>536</v>
      </c>
      <c r="B14" s="143">
        <f>+'1.1.sz.mell.'!C154</f>
        <v>24431347</v>
      </c>
      <c r="C14" s="142" t="s">
        <v>482</v>
      </c>
      <c r="D14" s="145">
        <f>+'2.1.sz.mell  '!E29+'2.2.sz.mell  '!E30</f>
        <v>24431347</v>
      </c>
      <c r="E14" s="143">
        <f t="shared" si="0"/>
        <v>0</v>
      </c>
    </row>
    <row r="15" spans="1:5" x14ac:dyDescent="0.2">
      <c r="A15" s="142" t="s">
        <v>537</v>
      </c>
      <c r="B15" s="143">
        <f>+'1.1.sz.mell.'!C155</f>
        <v>1887722750</v>
      </c>
      <c r="C15" s="142" t="s">
        <v>483</v>
      </c>
      <c r="D15" s="145">
        <f>+'2.1.sz.mell  '!E30+'2.2.sz.mell  '!E31</f>
        <v>1887722750</v>
      </c>
      <c r="E15" s="143">
        <f t="shared" si="0"/>
        <v>0</v>
      </c>
    </row>
    <row r="16" spans="1:5" x14ac:dyDescent="0.2">
      <c r="A16" s="136"/>
      <c r="B16" s="136"/>
      <c r="C16" s="142"/>
      <c r="D16" s="145"/>
      <c r="E16" s="137"/>
    </row>
    <row r="17" spans="1:5" x14ac:dyDescent="0.2">
      <c r="A17" s="136"/>
      <c r="B17" s="136"/>
      <c r="C17" s="136"/>
      <c r="D17" s="136"/>
      <c r="E17" s="136"/>
    </row>
    <row r="18" spans="1:5" x14ac:dyDescent="0.2">
      <c r="A18" s="136"/>
      <c r="B18" s="136"/>
      <c r="C18" s="136"/>
      <c r="D18" s="136"/>
      <c r="E18" s="136"/>
    </row>
    <row r="19" spans="1:5" x14ac:dyDescent="0.2">
      <c r="A19" s="136"/>
      <c r="B19" s="136"/>
      <c r="C19" s="136"/>
      <c r="D19" s="136"/>
      <c r="E19" s="136"/>
    </row>
  </sheetData>
  <phoneticPr fontId="30" type="noConversion"/>
  <conditionalFormatting sqref="E3:E15">
    <cfRule type="cellIs" dxfId="9" priority="1" stopIfTrue="1" operator="notEqual">
      <formula>0</formula>
    </cfRule>
  </conditionalFormatting>
  <pageMargins left="0.79" right="0.56999999999999995" top="0.88" bottom="0.66" header="0.5" footer="0.5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"/>
  <sheetViews>
    <sheetView view="pageLayout" zoomScaleNormal="120" workbookViewId="0">
      <selection activeCell="E6" sqref="E6"/>
    </sheetView>
  </sheetViews>
  <sheetFormatPr defaultColWidth="9.33203125" defaultRowHeight="15" x14ac:dyDescent="0.25"/>
  <cols>
    <col min="1" max="1" width="5.6640625" style="156" customWidth="1"/>
    <col min="2" max="2" width="36.83203125" style="156" customWidth="1"/>
    <col min="3" max="6" width="14" style="156" customWidth="1"/>
    <col min="7" max="16384" width="9.33203125" style="156"/>
  </cols>
  <sheetData>
    <row r="1" spans="1:7" ht="33" customHeight="1" x14ac:dyDescent="0.25">
      <c r="A1" s="685" t="s">
        <v>552</v>
      </c>
      <c r="B1" s="685"/>
      <c r="C1" s="685"/>
      <c r="D1" s="685"/>
      <c r="E1" s="685"/>
      <c r="F1" s="685"/>
    </row>
    <row r="2" spans="1:7" ht="15.95" customHeight="1" thickBot="1" x14ac:dyDescent="0.3">
      <c r="A2" s="157"/>
      <c r="B2" s="157"/>
      <c r="C2" s="686"/>
      <c r="D2" s="686"/>
      <c r="E2" s="693" t="s">
        <v>52</v>
      </c>
      <c r="F2" s="693"/>
      <c r="G2" s="163"/>
    </row>
    <row r="3" spans="1:7" ht="63" customHeight="1" x14ac:dyDescent="0.25">
      <c r="A3" s="689" t="s">
        <v>13</v>
      </c>
      <c r="B3" s="691" t="s">
        <v>186</v>
      </c>
      <c r="C3" s="691" t="s">
        <v>239</v>
      </c>
      <c r="D3" s="691"/>
      <c r="E3" s="691"/>
      <c r="F3" s="687" t="s">
        <v>489</v>
      </c>
    </row>
    <row r="4" spans="1:7" ht="15.75" thickBot="1" x14ac:dyDescent="0.3">
      <c r="A4" s="690"/>
      <c r="B4" s="692"/>
      <c r="C4" s="487">
        <f>+LEFT(ÖSSZEFÜGGÉSEK!A5,4)+1</f>
        <v>2020</v>
      </c>
      <c r="D4" s="487">
        <f>+C4+1</f>
        <v>2021</v>
      </c>
      <c r="E4" s="487">
        <f>+D4+1</f>
        <v>2022</v>
      </c>
      <c r="F4" s="688"/>
    </row>
    <row r="5" spans="1:7" ht="15.75" thickBot="1" x14ac:dyDescent="0.3">
      <c r="A5" s="160"/>
      <c r="B5" s="161" t="s">
        <v>484</v>
      </c>
      <c r="C5" s="161" t="s">
        <v>485</v>
      </c>
      <c r="D5" s="161" t="s">
        <v>486</v>
      </c>
      <c r="E5" s="161" t="s">
        <v>488</v>
      </c>
      <c r="F5" s="162" t="s">
        <v>487</v>
      </c>
    </row>
    <row r="6" spans="1:7" ht="26.25" x14ac:dyDescent="0.25">
      <c r="A6" s="159" t="s">
        <v>15</v>
      </c>
      <c r="B6" s="577" t="s">
        <v>612</v>
      </c>
      <c r="C6" s="578">
        <v>8639</v>
      </c>
      <c r="D6" s="578">
        <v>8639</v>
      </c>
      <c r="E6" s="578">
        <v>45527</v>
      </c>
      <c r="F6" s="579">
        <f>SUM(C6:E6)</f>
        <v>62805</v>
      </c>
    </row>
    <row r="7" spans="1:7" x14ac:dyDescent="0.25">
      <c r="A7" s="158" t="s">
        <v>16</v>
      </c>
      <c r="B7" s="180" t="s">
        <v>613</v>
      </c>
      <c r="C7" s="181">
        <v>503</v>
      </c>
      <c r="D7" s="181"/>
      <c r="E7" s="181"/>
      <c r="F7" s="166">
        <f>SUM(C7:E7)</f>
        <v>503</v>
      </c>
    </row>
    <row r="8" spans="1:7" x14ac:dyDescent="0.25">
      <c r="A8" s="158" t="s">
        <v>17</v>
      </c>
      <c r="B8" s="180"/>
      <c r="C8" s="181"/>
      <c r="D8" s="181"/>
      <c r="E8" s="181"/>
      <c r="F8" s="166">
        <f>SUM(C8:E8)</f>
        <v>0</v>
      </c>
    </row>
    <row r="9" spans="1:7" x14ac:dyDescent="0.25">
      <c r="A9" s="158" t="s">
        <v>18</v>
      </c>
      <c r="B9" s="180"/>
      <c r="C9" s="181"/>
      <c r="D9" s="181"/>
      <c r="E9" s="181"/>
      <c r="F9" s="166">
        <f>SUM(C9:E9)</f>
        <v>0</v>
      </c>
    </row>
    <row r="10" spans="1:7" ht="15.75" thickBot="1" x14ac:dyDescent="0.3">
      <c r="A10" s="164" t="s">
        <v>19</v>
      </c>
      <c r="B10" s="182"/>
      <c r="C10" s="183"/>
      <c r="D10" s="183"/>
      <c r="E10" s="183"/>
      <c r="F10" s="166">
        <f>SUM(C10:E10)</f>
        <v>0</v>
      </c>
    </row>
    <row r="11" spans="1:7" s="480" customFormat="1" thickBot="1" x14ac:dyDescent="0.25">
      <c r="A11" s="477" t="s">
        <v>20</v>
      </c>
      <c r="B11" s="165" t="s">
        <v>187</v>
      </c>
      <c r="C11" s="478">
        <f>SUM(C6:C10)</f>
        <v>9142</v>
      </c>
      <c r="D11" s="478">
        <f>SUM(D6:D10)</f>
        <v>8639</v>
      </c>
      <c r="E11" s="478">
        <f>SUM(E6:E10)</f>
        <v>45527</v>
      </c>
      <c r="F11" s="479">
        <f>SUM(F6:F10)</f>
        <v>63308</v>
      </c>
    </row>
  </sheetData>
  <mergeCells count="7">
    <mergeCell ref="A1:F1"/>
    <mergeCell ref="C2:D2"/>
    <mergeCell ref="F3:F4"/>
    <mergeCell ref="A3:A4"/>
    <mergeCell ref="B3:B4"/>
    <mergeCell ref="C3:E3"/>
    <mergeCell ref="E2:F2"/>
  </mergeCells>
  <phoneticPr fontId="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3. melléklet a ...../2019. (.......)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47</vt:i4>
      </vt:variant>
      <vt:variant>
        <vt:lpstr>Névvel ellátott tartományok</vt:lpstr>
      </vt:variant>
      <vt:variant>
        <vt:i4>33</vt:i4>
      </vt:variant>
    </vt:vector>
  </HeadingPairs>
  <TitlesOfParts>
    <vt:vector size="80" baseType="lpstr">
      <vt:lpstr>ÖSSZEFÜGGÉSEK</vt:lpstr>
      <vt:lpstr>1.1.sz.mell.</vt:lpstr>
      <vt:lpstr>1.2.sz.mell.</vt:lpstr>
      <vt:lpstr>1.3.sz.mell.</vt:lpstr>
      <vt:lpstr>1.4.sz.mell.</vt:lpstr>
      <vt:lpstr>2.1.sz.mell  </vt:lpstr>
      <vt:lpstr>2.2.sz.mell  </vt:lpstr>
      <vt:lpstr>ELLENŐRZÉS-1.sz.2.a.sz.2.b.sz.</vt:lpstr>
      <vt:lpstr>3.sz.mell.  </vt:lpstr>
      <vt:lpstr>4.sz.mell.</vt:lpstr>
      <vt:lpstr>5.sz.mell.</vt:lpstr>
      <vt:lpstr>6.sz.mell.</vt:lpstr>
      <vt:lpstr>7.sz.mell.</vt:lpstr>
      <vt:lpstr>8. sz. mell. </vt:lpstr>
      <vt:lpstr>9.1. sz. mell ÖNK</vt:lpstr>
      <vt:lpstr>9.1.1. sz. mell ÖNK</vt:lpstr>
      <vt:lpstr>9.1.2. sz. mell ÖNK</vt:lpstr>
      <vt:lpstr>9.1.3. sz. mell ÖNK</vt:lpstr>
      <vt:lpstr>9.2. sz. mell HIV</vt:lpstr>
      <vt:lpstr>9.2.1. sz. mell HIV</vt:lpstr>
      <vt:lpstr>9.2.2. sz.  mell HIV</vt:lpstr>
      <vt:lpstr>9.2.3. sz. mell HIV</vt:lpstr>
      <vt:lpstr>9.3. sz. mell GAM</vt:lpstr>
      <vt:lpstr>9.3.1. sz. mell GAM</vt:lpstr>
      <vt:lpstr>9.3.2. sz. mell GAM</vt:lpstr>
      <vt:lpstr>9.3.3. sz. mell GAM</vt:lpstr>
      <vt:lpstr>9.4. sz. mell ILMKS</vt:lpstr>
      <vt:lpstr>9.4.1. sz. mell ILMKS</vt:lpstr>
      <vt:lpstr>9.4.2. sz. mell ILMKS</vt:lpstr>
      <vt:lpstr>9.4.3. sz. mell ILMKS</vt:lpstr>
      <vt:lpstr>9.5. sz. mell OVI</vt:lpstr>
      <vt:lpstr>9.5.1. sz. mell OVI</vt:lpstr>
      <vt:lpstr>9.5.2. sz. mell OVI</vt:lpstr>
      <vt:lpstr>9.5.3. sz. mell OVI</vt:lpstr>
      <vt:lpstr>9.6. sz. mell CSSK</vt:lpstr>
      <vt:lpstr>9.6.1. sz. mell CSSK</vt:lpstr>
      <vt:lpstr>9.6.2. sz. mell CSSK</vt:lpstr>
      <vt:lpstr>9.6.3. sz. mell CSSK</vt:lpstr>
      <vt:lpstr>10.sz.mell</vt:lpstr>
      <vt:lpstr>1. sz tájékoztató t.</vt:lpstr>
      <vt:lpstr>2. sz tájékoztató t</vt:lpstr>
      <vt:lpstr>3. sz tájékoztató t.</vt:lpstr>
      <vt:lpstr>4.sz tájékoztató t.</vt:lpstr>
      <vt:lpstr>5.sz tájékoztató t.</vt:lpstr>
      <vt:lpstr>6.sz tájékoztató t.</vt:lpstr>
      <vt:lpstr>7. sz tájékoztató t.</vt:lpstr>
      <vt:lpstr>Munka1</vt:lpstr>
      <vt:lpstr>'9.1. sz. mell ÖNK'!Nyomtatási_cím</vt:lpstr>
      <vt:lpstr>'9.1.1. sz. mell ÖNK'!Nyomtatási_cím</vt:lpstr>
      <vt:lpstr>'9.1.2. sz. mell ÖNK'!Nyomtatási_cím</vt:lpstr>
      <vt:lpstr>'9.1.3. sz. mell ÖNK'!Nyomtatási_cím</vt:lpstr>
      <vt:lpstr>'9.2. sz. mell HIV'!Nyomtatási_cím</vt:lpstr>
      <vt:lpstr>'9.2.1. sz. mell HIV'!Nyomtatási_cím</vt:lpstr>
      <vt:lpstr>'9.2.2. sz.  mell HIV'!Nyomtatási_cím</vt:lpstr>
      <vt:lpstr>'9.2.3. sz. mell HIV'!Nyomtatási_cím</vt:lpstr>
      <vt:lpstr>'9.3. sz. mell GAM'!Nyomtatási_cím</vt:lpstr>
      <vt:lpstr>'9.3.1. sz. mell GAM'!Nyomtatási_cím</vt:lpstr>
      <vt:lpstr>'9.3.2. sz. mell GAM'!Nyomtatási_cím</vt:lpstr>
      <vt:lpstr>'9.3.3. sz. mell GAM'!Nyomtatási_cím</vt:lpstr>
      <vt:lpstr>'9.4. sz. mell ILMKS'!Nyomtatási_cím</vt:lpstr>
      <vt:lpstr>'9.4.1. sz. mell ILMKS'!Nyomtatási_cím</vt:lpstr>
      <vt:lpstr>'9.4.2. sz. mell ILMKS'!Nyomtatási_cím</vt:lpstr>
      <vt:lpstr>'9.4.3. sz. mell ILMKS'!Nyomtatási_cím</vt:lpstr>
      <vt:lpstr>'9.5. sz. mell OVI'!Nyomtatási_cím</vt:lpstr>
      <vt:lpstr>'9.5.1. sz. mell OVI'!Nyomtatási_cím</vt:lpstr>
      <vt:lpstr>'9.5.2. sz. mell OVI'!Nyomtatási_cím</vt:lpstr>
      <vt:lpstr>'9.5.3. sz. mell OVI'!Nyomtatási_cím</vt:lpstr>
      <vt:lpstr>'9.6. sz. mell CSSK'!Nyomtatási_cím</vt:lpstr>
      <vt:lpstr>'9.6.1. sz. mell CSSK'!Nyomtatási_cím</vt:lpstr>
      <vt:lpstr>'9.6.2. sz. mell CSSK'!Nyomtatási_cím</vt:lpstr>
      <vt:lpstr>'9.6.3. sz. mell CSSK'!Nyomtatási_cím</vt:lpstr>
      <vt:lpstr>'1. sz tájékoztató t.'!Nyomtatási_terület</vt:lpstr>
      <vt:lpstr>'1.1.sz.mell.'!Nyomtatási_terület</vt:lpstr>
      <vt:lpstr>'1.2.sz.mell.'!Nyomtatási_terület</vt:lpstr>
      <vt:lpstr>'1.3.sz.mell.'!Nyomtatási_terület</vt:lpstr>
      <vt:lpstr>'1.4.sz.mell.'!Nyomtatási_terület</vt:lpstr>
      <vt:lpstr>'2.1.sz.mell  '!Nyomtatási_terület</vt:lpstr>
      <vt:lpstr>'7. sz tájékoztató t.'!Nyomtatási_terület</vt:lpstr>
      <vt:lpstr>'9.1. sz. mell ÖNK'!Nyomtatási_terület</vt:lpstr>
      <vt:lpstr>'9.1.1. sz. mell ÖNK'!Nyomtatási_terület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Kulcsár Margit</cp:lastModifiedBy>
  <cp:lastPrinted>2019-03-21T07:22:22Z</cp:lastPrinted>
  <dcterms:created xsi:type="dcterms:W3CDTF">1999-10-30T10:30:45Z</dcterms:created>
  <dcterms:modified xsi:type="dcterms:W3CDTF">2019-06-05T09:04:40Z</dcterms:modified>
</cp:coreProperties>
</file>