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10 09\"/>
    </mc:Choice>
  </mc:AlternateContent>
  <bookViews>
    <workbookView xWindow="0" yWindow="0" windowWidth="20490" windowHeight="7155" tabRatio="727" firstSheet="1" activeTab="5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115" i="119" l="1"/>
  <c r="C48" i="122"/>
  <c r="C47" i="122"/>
  <c r="C19" i="122"/>
  <c r="C10" i="122"/>
  <c r="C49" i="122" l="1"/>
  <c r="C23" i="122"/>
  <c r="C48" i="139" l="1"/>
  <c r="C48" i="134"/>
  <c r="C48" i="130"/>
  <c r="C48" i="125"/>
  <c r="C47" i="134"/>
  <c r="C46" i="134"/>
  <c r="C46" i="139"/>
  <c r="C47" i="139"/>
  <c r="C47" i="130"/>
  <c r="C46" i="130"/>
  <c r="C47" i="125"/>
  <c r="C46" i="125"/>
  <c r="C97" i="119" l="1"/>
  <c r="C96" i="119"/>
  <c r="C95" i="119"/>
  <c r="C20" i="119"/>
  <c r="E17" i="63" l="1"/>
  <c r="B17" i="63"/>
  <c r="E21" i="63"/>
  <c r="B21" i="63"/>
  <c r="E20" i="63"/>
  <c r="B20" i="63"/>
  <c r="C20" i="73" l="1"/>
  <c r="C112" i="119"/>
  <c r="C10" i="119" l="1"/>
  <c r="C99" i="119"/>
  <c r="C100" i="119"/>
  <c r="C117" i="119" l="1"/>
  <c r="C132" i="119" l="1"/>
  <c r="C11" i="119" l="1"/>
  <c r="C12" i="119"/>
  <c r="C13" i="119"/>
  <c r="C9" i="119"/>
  <c r="C27" i="119" l="1"/>
  <c r="C119" i="119"/>
  <c r="C74" i="116" l="1"/>
  <c r="C74" i="1"/>
  <c r="C77" i="119"/>
  <c r="C48" i="131"/>
  <c r="C39" i="129"/>
  <c r="C38" i="138"/>
  <c r="C39" i="138"/>
  <c r="C48" i="124" l="1"/>
  <c r="C47" i="124"/>
  <c r="C14" i="125" l="1"/>
  <c r="C10" i="125"/>
  <c r="E15" i="142" l="1"/>
  <c r="I14" i="142"/>
  <c r="E14" i="142"/>
  <c r="D186" i="71" l="1"/>
  <c r="B186" i="71"/>
  <c r="E185" i="71"/>
  <c r="E184" i="71"/>
  <c r="E183" i="71"/>
  <c r="E182" i="71"/>
  <c r="E181" i="71"/>
  <c r="E180" i="71"/>
  <c r="E179" i="71"/>
  <c r="C186" i="71"/>
  <c r="C169" i="71" s="1"/>
  <c r="D178" i="71"/>
  <c r="C178" i="71"/>
  <c r="B178" i="71"/>
  <c r="D176" i="71"/>
  <c r="B176" i="71"/>
  <c r="E175" i="71"/>
  <c r="E174" i="71"/>
  <c r="E173" i="71"/>
  <c r="E172" i="71"/>
  <c r="E171" i="71"/>
  <c r="E170" i="71"/>
  <c r="D168" i="71"/>
  <c r="C168" i="71"/>
  <c r="B168" i="71"/>
  <c r="C146" i="71"/>
  <c r="C123" i="71"/>
  <c r="C100" i="71"/>
  <c r="C54" i="71"/>
  <c r="C31" i="71"/>
  <c r="C7" i="71"/>
  <c r="C135" i="71"/>
  <c r="C156" i="71"/>
  <c r="C133" i="71"/>
  <c r="E186" i="71" l="1"/>
  <c r="C176" i="71"/>
  <c r="E169" i="71"/>
  <c r="E176" i="71" s="1"/>
  <c r="E28" i="73" l="1"/>
  <c r="C52" i="119"/>
  <c r="F24" i="63" l="1"/>
  <c r="C24" i="116" l="1"/>
  <c r="D11" i="88"/>
  <c r="D9" i="88"/>
  <c r="C33" i="88"/>
  <c r="C11" i="88"/>
  <c r="C9" i="88"/>
  <c r="J29" i="142"/>
  <c r="I28" i="142"/>
  <c r="H28" i="142"/>
  <c r="G28" i="142"/>
  <c r="F28" i="142"/>
  <c r="J28" i="142" s="1"/>
  <c r="E28" i="142"/>
  <c r="J27" i="142"/>
  <c r="I26" i="142"/>
  <c r="H26" i="142"/>
  <c r="G26" i="142"/>
  <c r="F26" i="142"/>
  <c r="E26" i="142"/>
  <c r="J26" i="142" s="1"/>
  <c r="J25" i="142"/>
  <c r="I24" i="142"/>
  <c r="H24" i="142"/>
  <c r="G24" i="142"/>
  <c r="F24" i="142"/>
  <c r="J24" i="142" s="1"/>
  <c r="E24" i="142"/>
  <c r="J22" i="142"/>
  <c r="I22" i="142"/>
  <c r="J20" i="142"/>
  <c r="I20" i="142"/>
  <c r="J18" i="142"/>
  <c r="I18" i="142"/>
  <c r="J17" i="142"/>
  <c r="E17" i="142"/>
  <c r="J16" i="142"/>
  <c r="E16" i="142"/>
  <c r="J15" i="142"/>
  <c r="J14" i="142"/>
  <c r="E13" i="142"/>
  <c r="J13" i="142" s="1"/>
  <c r="I12" i="142"/>
  <c r="E12" i="142"/>
  <c r="J12" i="142" s="1"/>
  <c r="J11" i="142"/>
  <c r="E11" i="142"/>
  <c r="I10" i="142"/>
  <c r="E10" i="142"/>
  <c r="J10" i="142" s="1"/>
  <c r="I9" i="142"/>
  <c r="H9" i="142"/>
  <c r="G9" i="142"/>
  <c r="F9" i="142"/>
  <c r="E9" i="142"/>
  <c r="J8" i="142"/>
  <c r="J7" i="142"/>
  <c r="I6" i="142"/>
  <c r="H6" i="142"/>
  <c r="G6" i="142"/>
  <c r="G30" i="142" s="1"/>
  <c r="F6" i="142"/>
  <c r="F30" i="142" s="1"/>
  <c r="E6" i="142"/>
  <c r="J6" i="142" s="1"/>
  <c r="I4" i="142"/>
  <c r="H4" i="142"/>
  <c r="G4" i="142"/>
  <c r="F4" i="142"/>
  <c r="E3" i="142"/>
  <c r="H30" i="142" l="1"/>
  <c r="J9" i="142"/>
  <c r="I30" i="142"/>
  <c r="J30" i="142"/>
  <c r="E30" i="142"/>
  <c r="C28" i="129" l="1"/>
  <c r="C23" i="129" l="1"/>
  <c r="E21" i="119" l="1"/>
  <c r="C33" i="119" l="1"/>
  <c r="B40" i="2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25" i="71" s="1"/>
  <c r="D130" i="71" s="1"/>
  <c r="C140" i="71"/>
  <c r="C130" i="71" s="1"/>
  <c r="E135" i="71"/>
  <c r="E134" i="71"/>
  <c r="E133" i="71"/>
  <c r="E129" i="71"/>
  <c r="E128" i="71"/>
  <c r="E127" i="71"/>
  <c r="E126" i="71"/>
  <c r="E124" i="71"/>
  <c r="E123" i="71"/>
  <c r="D117" i="71"/>
  <c r="B117" i="71"/>
  <c r="E116" i="71"/>
  <c r="E115" i="71"/>
  <c r="E114" i="71"/>
  <c r="E113" i="71"/>
  <c r="E112" i="71"/>
  <c r="C117" i="7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B71" i="71"/>
  <c r="E70" i="71"/>
  <c r="E69" i="71"/>
  <c r="E68" i="71"/>
  <c r="E67" i="71"/>
  <c r="E66" i="71"/>
  <c r="E65" i="71"/>
  <c r="E64" i="71"/>
  <c r="D61" i="71"/>
  <c r="C61" i="71"/>
  <c r="B61" i="71"/>
  <c r="E60" i="71"/>
  <c r="E59" i="71"/>
  <c r="E58" i="71"/>
  <c r="E57" i="71"/>
  <c r="E56" i="71"/>
  <c r="E55" i="71"/>
  <c r="E54" i="71"/>
  <c r="D48" i="71"/>
  <c r="C48" i="71"/>
  <c r="B48" i="71"/>
  <c r="E47" i="71"/>
  <c r="E46" i="71"/>
  <c r="E45" i="71"/>
  <c r="E44" i="71"/>
  <c r="E43" i="71"/>
  <c r="E42" i="71"/>
  <c r="E41" i="71"/>
  <c r="D38" i="71"/>
  <c r="C38" i="71"/>
  <c r="B38" i="71"/>
  <c r="E37" i="71"/>
  <c r="E36" i="71"/>
  <c r="E35" i="71"/>
  <c r="E34" i="71"/>
  <c r="E33" i="71"/>
  <c r="E32" i="71"/>
  <c r="E31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E140" i="71" l="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C153" i="71" s="1"/>
  <c r="E111" i="71"/>
  <c r="E117" i="71" s="1"/>
  <c r="B130" i="71" l="1"/>
  <c r="E125" i="71"/>
  <c r="E130" i="71" s="1"/>
  <c r="E148" i="71"/>
  <c r="D153" i="71" l="1"/>
  <c r="E146" i="71"/>
  <c r="E153" i="71" s="1"/>
  <c r="C98" i="3" l="1"/>
  <c r="F17" i="63"/>
  <c r="F18" i="63"/>
  <c r="F19" i="63"/>
  <c r="F20" i="63"/>
  <c r="F21" i="63"/>
  <c r="F22" i="63"/>
  <c r="E120" i="119" l="1"/>
  <c r="E116" i="119"/>
  <c r="C17" i="117" l="1"/>
  <c r="F15" i="63" l="1"/>
  <c r="C52" i="138"/>
  <c r="C29" i="116" l="1"/>
  <c r="C32" i="3"/>
  <c r="C29" i="1" s="1"/>
  <c r="C113" i="119" l="1"/>
  <c r="E12" i="119" l="1"/>
  <c r="E6" i="63"/>
  <c r="E26" i="63" s="1"/>
  <c r="B6" i="63" l="1"/>
  <c r="B26" i="63" s="1"/>
  <c r="F21" i="119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C8" i="119" l="1"/>
  <c r="E52" i="87" l="1"/>
  <c r="C29" i="137"/>
  <c r="E3" i="137"/>
  <c r="D3" i="137"/>
  <c r="C3" i="137"/>
  <c r="C52" i="133"/>
  <c r="D3" i="87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7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3" i="116"/>
  <c r="C84" i="116"/>
  <c r="C81" i="116"/>
  <c r="C78" i="116"/>
  <c r="C79" i="116"/>
  <c r="C77" i="116"/>
  <c r="C75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46" i="116"/>
  <c r="C36" i="116"/>
  <c r="C28" i="116"/>
  <c r="C30" i="116"/>
  <c r="C31" i="116"/>
  <c r="C32" i="116"/>
  <c r="C33" i="116"/>
  <c r="C34" i="116"/>
  <c r="C27" i="116"/>
  <c r="C21" i="116"/>
  <c r="C22" i="116"/>
  <c r="C23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56" i="1" s="1"/>
  <c r="C60" i="3"/>
  <c r="C57" i="1" s="1"/>
  <c r="C57" i="3"/>
  <c r="C54" i="1" s="1"/>
  <c r="C52" i="3"/>
  <c r="C49" i="1" s="1"/>
  <c r="C53" i="3"/>
  <c r="C50" i="1" s="1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D33" i="88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C97" i="3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7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23" i="63"/>
  <c r="F25" i="63"/>
  <c r="D26" i="63"/>
  <c r="C92" i="1"/>
  <c r="C3" i="77"/>
  <c r="E3" i="87"/>
  <c r="E91" i="87" s="1"/>
  <c r="C59" i="1"/>
  <c r="C96" i="3"/>
  <c r="O17" i="24" s="1"/>
  <c r="C45" i="1"/>
  <c r="C20" i="1"/>
  <c r="C65" i="1"/>
  <c r="F12" i="64"/>
  <c r="C17" i="1" l="1"/>
  <c r="C12" i="1" s="1"/>
  <c r="C7" i="73" s="1"/>
  <c r="D128" i="87"/>
  <c r="D154" i="87" s="1"/>
  <c r="O21" i="24"/>
  <c r="H21" i="24" s="1"/>
  <c r="C116" i="3"/>
  <c r="O18" i="24"/>
  <c r="J18" i="24" s="1"/>
  <c r="C80" i="116"/>
  <c r="C57" i="125"/>
  <c r="C40" i="125" s="1"/>
  <c r="C12" i="116"/>
  <c r="B28" i="2"/>
  <c r="E128" i="87"/>
  <c r="C26" i="116"/>
  <c r="C30" i="1"/>
  <c r="C29" i="3"/>
  <c r="O8" i="24" s="1"/>
  <c r="C135" i="3"/>
  <c r="C120" i="1"/>
  <c r="E10" i="61" s="1"/>
  <c r="C64" i="116"/>
  <c r="C38" i="1"/>
  <c r="C87" i="117"/>
  <c r="C63" i="118"/>
  <c r="C66" i="119"/>
  <c r="C58" i="123"/>
  <c r="C57" i="132"/>
  <c r="C57" i="135"/>
  <c r="C19" i="61"/>
  <c r="C8" i="79"/>
  <c r="C43" i="1"/>
  <c r="C39" i="1"/>
  <c r="C76" i="3"/>
  <c r="C73" i="116"/>
  <c r="C76" i="116"/>
  <c r="C141" i="116"/>
  <c r="C41" i="1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40" i="139" s="1"/>
  <c r="C36" i="132"/>
  <c r="C41" i="132" s="1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36" i="126"/>
  <c r="C156" i="121"/>
  <c r="E87" i="87"/>
  <c r="C38" i="3"/>
  <c r="O9" i="24" s="1"/>
  <c r="I9" i="24" s="1"/>
  <c r="C61" i="3"/>
  <c r="O12" i="24" s="1"/>
  <c r="H12" i="24" s="1"/>
  <c r="E10" i="3"/>
  <c r="C15" i="3"/>
  <c r="O6" i="24" s="1"/>
  <c r="C90" i="120"/>
  <c r="C155" i="120"/>
  <c r="C156" i="120" s="1"/>
  <c r="C37" i="122"/>
  <c r="C37" i="123"/>
  <c r="C42" i="123" s="1"/>
  <c r="C86" i="87"/>
  <c r="C87" i="87" s="1"/>
  <c r="C36" i="131"/>
  <c r="C41" i="131" s="1"/>
  <c r="C36" i="134"/>
  <c r="C46" i="1"/>
  <c r="C42" i="1"/>
  <c r="C31" i="79"/>
  <c r="C100" i="3"/>
  <c r="C94" i="3" s="1"/>
  <c r="C130" i="3" s="1"/>
  <c r="C53" i="1"/>
  <c r="C11" i="73" s="1"/>
  <c r="C36" i="141"/>
  <c r="C41" i="141" s="1"/>
  <c r="D87" i="87"/>
  <c r="G16" i="89"/>
  <c r="C56" i="3"/>
  <c r="O11" i="24" s="1"/>
  <c r="C11" i="24" s="1"/>
  <c r="C90" i="119"/>
  <c r="C66" i="120"/>
  <c r="C91" i="120" s="1"/>
  <c r="C90" i="121"/>
  <c r="C37" i="124"/>
  <c r="C36" i="125"/>
  <c r="C57" i="131"/>
  <c r="C45" i="133"/>
  <c r="C57" i="133" s="1"/>
  <c r="C83" i="3"/>
  <c r="C36" i="138"/>
  <c r="F26" i="63"/>
  <c r="C36" i="1"/>
  <c r="C50" i="3"/>
  <c r="O10" i="24" s="1"/>
  <c r="E10" i="24" s="1"/>
  <c r="C22" i="3"/>
  <c r="O7" i="24" s="1"/>
  <c r="C154" i="117"/>
  <c r="C160" i="117" s="1"/>
  <c r="C154" i="118"/>
  <c r="C160" i="118" s="1"/>
  <c r="C66" i="121"/>
  <c r="C91" i="121" s="1"/>
  <c r="C36" i="127"/>
  <c r="C41" i="127" s="1"/>
  <c r="E153" i="87"/>
  <c r="C58" i="122"/>
  <c r="C57" i="130"/>
  <c r="C40" i="130" s="1"/>
  <c r="C36" i="135"/>
  <c r="C41" i="135" s="1"/>
  <c r="C13" i="3"/>
  <c r="D35" i="137"/>
  <c r="C52" i="79"/>
  <c r="C20" i="105"/>
  <c r="C36" i="105" s="1"/>
  <c r="C30" i="105"/>
  <c r="C51" i="129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E25" i="61"/>
  <c r="C141" i="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G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C37" i="79" l="1"/>
  <c r="C41" i="122"/>
  <c r="C41" i="79" s="1"/>
  <c r="H18" i="24"/>
  <c r="L21" i="24"/>
  <c r="M18" i="24"/>
  <c r="N18" i="24"/>
  <c r="E8" i="73"/>
  <c r="C21" i="24"/>
  <c r="D21" i="24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59" i="118"/>
  <c r="C57" i="105"/>
  <c r="C40" i="129"/>
  <c r="C37" i="129" s="1"/>
  <c r="C41" i="129" s="1"/>
  <c r="F9" i="24"/>
  <c r="C9" i="24"/>
  <c r="C35" i="1"/>
  <c r="C10" i="73" s="1"/>
  <c r="C90" i="3"/>
  <c r="O13" i="24" s="1"/>
  <c r="I13" i="24" s="1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8" i="3"/>
  <c r="C99" i="1"/>
  <c r="E10" i="73" s="1"/>
  <c r="O20" i="24"/>
  <c r="C40" i="133"/>
  <c r="C37" i="133" s="1"/>
  <c r="C41" i="133" s="1"/>
  <c r="C37" i="134"/>
  <c r="C41" i="134" s="1"/>
  <c r="C38" i="122"/>
  <c r="C42" i="122" s="1"/>
  <c r="C37" i="139"/>
  <c r="C41" i="139" s="1"/>
  <c r="C40" i="138"/>
  <c r="C37" i="138" s="1"/>
  <c r="C41" i="138" s="1"/>
  <c r="E6" i="61"/>
  <c r="E17" i="61" s="1"/>
  <c r="E31" i="61" s="1"/>
  <c r="C115" i="1"/>
  <c r="C37" i="125"/>
  <c r="C41" i="125" s="1"/>
  <c r="C17" i="61"/>
  <c r="L13" i="24"/>
  <c r="C19" i="73"/>
  <c r="C29" i="73" s="1"/>
  <c r="E18" i="73" l="1"/>
  <c r="E30" i="73" s="1"/>
  <c r="C94" i="1"/>
  <c r="C63" i="1"/>
  <c r="C88" i="1" s="1"/>
  <c r="B8" i="76" s="1"/>
  <c r="J13" i="24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129" i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B6" i="76" l="1"/>
  <c r="D13" i="76"/>
  <c r="C145" i="119"/>
  <c r="C142" i="119" s="1"/>
  <c r="C156" i="119" s="1"/>
  <c r="C157" i="119" s="1"/>
  <c r="F157" i="119" s="1"/>
  <c r="E32" i="73"/>
  <c r="D6" i="76"/>
  <c r="E31" i="73"/>
  <c r="C32" i="73"/>
  <c r="C31" i="73"/>
  <c r="E8" i="76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/>
</calcChain>
</file>

<file path=xl/sharedStrings.xml><?xml version="1.0" encoding="utf-8"?>
<sst xmlns="http://schemas.openxmlformats.org/spreadsheetml/2006/main" count="5885" uniqueCount="726">
  <si>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</si>
  <si>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</si>
  <si>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</si>
  <si>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</si>
  <si>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</si>
  <si>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</si>
  <si>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</si>
  <si>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</si>
  <si>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</si>
  <si>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</si>
  <si>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</si>
  <si>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</si>
  <si>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</si>
  <si>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</si>
  <si>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</si>
  <si>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</si>
  <si>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</si>
  <si>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</si>
  <si>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</si>
  <si>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</si>
  <si>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</si>
  <si>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</si>
  <si>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</si>
  <si>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</si>
  <si>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</si>
  <si>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</si>
  <si>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</si>
  <si>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</si>
  <si>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</si>
  <si>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</si>
  <si>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</si>
  <si>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</si>
  <si>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</si>
  <si>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</si>
  <si>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</si>
  <si>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</si>
  <si>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</si>
  <si>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</si>
  <si>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</si>
  <si>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</si>
  <si>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</si>
  <si>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</si>
  <si>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</si>
  <si>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</si>
  <si>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</si>
  <si>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</si>
  <si>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</si>
  <si>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</si>
  <si>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</si>
  <si>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</si>
  <si>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</si>
  <si>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</si>
  <si>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</si>
  <si>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</si>
  <si>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</si>
  <si>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</si>
  <si>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</si>
  <si>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</si>
  <si>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</si>
  <si>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</si>
  <si>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</si>
  <si>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</si>
  <si>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</si>
  <si>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</si>
  <si>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</si>
  <si>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</si>
  <si>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</si>
  <si>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</si>
  <si>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</si>
  <si>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</si>
  <si>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</si>
  <si>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</si>
  <si>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</si>
  <si>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</si>
  <si>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</si>
  <si>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</si>
  <si>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</si>
  <si>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</si>
  <si>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</si>
  <si>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</si>
  <si>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</si>
  <si>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</si>
  <si>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</si>
  <si>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</si>
  <si>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</si>
  <si>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</si>
  <si>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</si>
  <si>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</si>
  <si>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</si>
  <si>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</si>
  <si>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</si>
  <si>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</si>
  <si>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</si>
  <si>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</si>
  <si>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</si>
  <si>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</si>
  <si>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</si>
  <si>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</si>
  <si>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</si>
  <si>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</si>
  <si>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</si>
  <si>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</si>
  <si>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</si>
  <si>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</si>
  <si>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</si>
  <si>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</si>
  <si>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</si>
  <si>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</si>
  <si>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</si>
  <si>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</si>
  <si>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</si>
  <si>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</si>
  <si>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</si>
  <si>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</si>
  <si>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</si>
  <si>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</si>
  <si>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</si>
  <si>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</si>
  <si>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</si>
  <si>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</si>
  <si>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</si>
  <si>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</si>
  <si>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</si>
  <si>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</si>
  <si>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</si>
  <si>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</si>
  <si>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</si>
  <si>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</si>
  <si>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</si>
  <si>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</si>
  <si>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</si>
  <si>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</si>
  <si>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</si>
  <si>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</si>
  <si>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</si>
  <si>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</si>
  <si>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</si>
  <si>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</si>
  <si>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</si>
  <si>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</si>
  <si>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</si>
  <si>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</si>
  <si>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</si>
  <si>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</si>
  <si>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</si>
  <si>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</si>
  <si>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</si>
  <si>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</si>
  <si>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</si>
  <si>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</si>
  <si>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</si>
  <si>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</si>
  <si>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</si>
  <si>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</si>
  <si>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</si>
  <si>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</si>
  <si>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</si>
  <si>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</si>
  <si>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</si>
  <si>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</si>
  <si>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</si>
  <si>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</si>
  <si>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</si>
  <si>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</si>
  <si>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</si>
  <si>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</si>
  <si>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</si>
  <si>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</si>
  <si>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</si>
  <si>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</si>
  <si>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</si>
  <si>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</si>
  <si>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</si>
  <si>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</si>
  <si>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</si>
  <si>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</si>
  <si>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</si>
  <si>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</si>
  <si>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</si>
  <si>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</si>
  <si>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</si>
  <si>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</si>
  <si>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</si>
  <si>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</si>
  <si>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</si>
  <si>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</si>
  <si>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</si>
  <si>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</si>
  <si>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</si>
  <si>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</si>
  <si>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</si>
  <si>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</si>
  <si>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</si>
  <si>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</si>
  <si>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</si>
  <si>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</si>
  <si>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</si>
  <si>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</si>
  <si>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</si>
  <si>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</si>
  <si>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</si>
  <si>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</si>
  <si>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</si>
  <si>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</si>
  <si>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</si>
  <si>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</si>
  <si>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</si>
  <si>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</si>
  <si>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</si>
  <si>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</si>
  <si>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</si>
  <si>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</si>
  <si>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</si>
  <si>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</si>
  <si>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</si>
  <si>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</si>
  <si>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</si>
  <si>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</si>
  <si>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</si>
  <si>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</si>
  <si>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</si>
  <si>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</si>
  <si>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</si>
  <si>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</si>
  <si>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</si>
  <si>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</si>
  <si>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</si>
  <si>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</si>
  <si>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</si>
  <si>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</si>
  <si>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</si>
  <si>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</si>
  <si>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</si>
  <si>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</si>
  <si>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</si>
  <si>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</si>
  <si>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</si>
  <si>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</si>
  <si>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</si>
  <si>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</si>
  <si>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</si>
  <si>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</si>
  <si>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</si>
  <si>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</si>
  <si>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</si>
  <si>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</si>
  <si>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</si>
  <si>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</si>
  <si>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</si>
  <si>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</si>
  <si>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</si>
  <si>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</si>
  <si>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</si>
  <si>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</si>
  <si>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</si>
  <si>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</si>
  <si>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</si>
  <si>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</si>
  <si>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</si>
  <si>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</si>
  <si>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</si>
  <si>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</si>
  <si>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</si>
  <si>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</si>
  <si>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</si>
  <si>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</si>
  <si>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</si>
  <si>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</si>
  <si>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</si>
  <si>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</si>
  <si>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</si>
  <si>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</si>
  <si>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</si>
  <si>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</si>
  <si>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</si>
  <si>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</si>
  <si>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</si>
  <si>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</si>
  <si>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</si>
  <si>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</si>
  <si>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</si>
  <si>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</si>
  <si>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</si>
  <si>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</si>
  <si>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</si>
  <si>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</si>
  <si>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</si>
  <si>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</si>
  <si>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</si>
  <si>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</si>
  <si>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</si>
  <si>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</si>
  <si>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</si>
  <si>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</si>
  <si>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</si>
  <si>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</si>
  <si>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</si>
  <si>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</si>
  <si>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</si>
  <si>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</si>
  <si>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</si>
  <si>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</si>
  <si>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</si>
  <si>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</si>
  <si>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</si>
  <si>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</si>
  <si>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</si>
  <si>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</si>
  <si>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</si>
  <si>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</si>
  <si>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</si>
  <si>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</si>
  <si>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</si>
  <si>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</si>
  <si>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</si>
  <si>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</si>
  <si>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</si>
  <si>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</si>
  <si>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</si>
  <si>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</si>
  <si>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</si>
  <si>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</si>
  <si>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</si>
  <si>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</si>
  <si>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</si>
  <si>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</si>
  <si>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</si>
  <si>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</si>
  <si>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</si>
  <si>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</si>
  <si>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</si>
  <si>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</si>
  <si>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</si>
  <si>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</si>
  <si>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</si>
  <si>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</si>
  <si>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</si>
  <si>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</si>
  <si>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</si>
  <si>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</si>
  <si>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</si>
  <si>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</si>
  <si>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</si>
  <si>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</si>
  <si>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</si>
  <si>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</si>
  <si>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</si>
  <si>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</si>
  <si>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</si>
  <si>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</si>
  <si>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</si>
  <si>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</si>
  <si>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</si>
  <si>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</si>
  <si>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</si>
  <si>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</si>
  <si>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</si>
  <si>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</si>
  <si>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</si>
  <si>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</si>
  <si>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</si>
  <si>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</si>
  <si>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</si>
  <si>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</si>
  <si>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</si>
  <si>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</si>
  <si>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</si>
  <si>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</si>
  <si>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</si>
  <si>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</si>
  <si>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</si>
  <si>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</si>
  <si>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</si>
  <si>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</si>
  <si>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</si>
  <si>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</si>
  <si>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</si>
  <si>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</si>
  <si>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</si>
  <si>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</si>
  <si>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</si>
  <si>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</si>
  <si>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</si>
  <si>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</si>
  <si>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</si>
  <si>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</si>
  <si>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</si>
  <si>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</si>
  <si>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</si>
  <si>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</si>
  <si>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</si>
  <si>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</si>
  <si>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</si>
  <si>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</si>
  <si>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</si>
  <si>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</si>
  <si>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</si>
  <si>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</si>
  <si>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</si>
  <si>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</si>
  <si>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</si>
  <si>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</si>
  <si>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</si>
  <si>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</si>
  <si>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</si>
  <si>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</si>
  <si>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</si>
  <si>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</si>
  <si>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</si>
  <si>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</si>
  <si>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</si>
  <si>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</si>
  <si>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</si>
  <si>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</si>
  <si>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</si>
  <si>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</si>
  <si>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</si>
  <si>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</si>
  <si>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</si>
  <si>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</si>
  <si>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</si>
  <si>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</si>
  <si>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</si>
  <si>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</si>
  <si>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</si>
  <si>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</si>
  <si>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</si>
  <si>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</si>
  <si>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</si>
  <si>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</si>
  <si>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</si>
  <si>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</si>
  <si>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</si>
  <si>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</si>
  <si>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</si>
  <si>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</si>
  <si>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</si>
  <si>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</si>
  <si>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</si>
  <si>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</si>
  <si>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</si>
  <si>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</si>
  <si>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</si>
  <si>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</si>
  <si>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</si>
  <si>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</si>
  <si>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</si>
  <si>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</si>
  <si>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</si>
  <si>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</si>
  <si>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</si>
  <si>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</si>
  <si>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</si>
  <si>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</si>
  <si>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</si>
  <si>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</si>
  <si>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</si>
  <si>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</si>
  <si>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</si>
  <si>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</si>
  <si>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</si>
  <si>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</si>
  <si>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</si>
  <si>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</si>
  <si>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</si>
  <si>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</si>
  <si>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</si>
  <si>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</si>
  <si>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</si>
  <si>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</si>
  <si>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</si>
  <si>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</si>
  <si>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</si>
  <si>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</si>
  <si>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</si>
  <si>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</si>
  <si>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</si>
  <si>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</si>
  <si>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</si>
  <si>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</si>
  <si>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</si>
  <si>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</si>
  <si>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</si>
  <si>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</si>
  <si>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</si>
  <si>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</si>
  <si>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</si>
  <si>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</si>
  <si>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</si>
  <si>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</si>
  <si>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</si>
  <si>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</si>
  <si>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</si>
  <si>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</si>
  <si>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</si>
  <si>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</si>
  <si>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</si>
  <si>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</si>
  <si>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</si>
  <si>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</si>
  <si>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</si>
  <si>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</si>
  <si>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</si>
  <si>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</si>
  <si>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</si>
  <si>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</si>
  <si>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</si>
  <si>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</si>
  <si>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</si>
  <si>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</si>
  <si>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</si>
  <si>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</si>
  <si>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</si>
  <si>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</si>
  <si>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</si>
  <si>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</si>
  <si>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</si>
  <si>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</si>
  <si>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</si>
  <si>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</si>
  <si>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</si>
  <si>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</si>
  <si>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</si>
  <si>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</si>
  <si>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</si>
  <si>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</si>
  <si>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</si>
  <si>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</si>
  <si>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</si>
  <si>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</si>
  <si>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</si>
  <si>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</si>
  <si>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</si>
  <si>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</si>
  <si>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</si>
  <si>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</si>
  <si>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</si>
  <si>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</si>
  <si>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</si>
  <si>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</si>
  <si>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</si>
  <si>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</si>
  <si>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</si>
  <si>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</si>
  <si>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</si>
  <si>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</si>
  <si>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</si>
  <si>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</si>
  <si>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</si>
  <si>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</si>
  <si>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</si>
  <si>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</si>
  <si>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</si>
  <si>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</si>
  <si>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</si>
  <si>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</si>
  <si>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</si>
  <si>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</si>
  <si>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</si>
  <si>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</si>
  <si>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</si>
  <si>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</si>
  <si>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</si>
  <si>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</si>
  <si>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</si>
  <si>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</si>
  <si>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</si>
  <si>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</si>
  <si>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</si>
  <si>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</si>
  <si>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</si>
  <si>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</si>
  <si>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</si>
  <si>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</si>
  <si>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</si>
  <si>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</si>
  <si>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</si>
  <si>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</si>
  <si>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</si>
  <si>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</si>
  <si>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</si>
  <si>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</si>
  <si>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</si>
  <si>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</si>
  <si>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</si>
  <si>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</si>
  <si>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</si>
  <si>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</si>
  <si>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</si>
  <si>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</si>
  <si>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</si>
  <si>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</si>
  <si>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</si>
  <si>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</si>
  <si>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</si>
  <si>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</si>
  <si>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</si>
  <si>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</si>
  <si>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</si>
  <si>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</si>
  <si>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</si>
  <si>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</si>
  <si>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</si>
  <si>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</si>
  <si>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</si>
  <si>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</si>
  <si>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</si>
  <si>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</si>
  <si>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sport</t>
  </si>
  <si>
    <t>hiány</t>
  </si>
  <si>
    <t>Nagyértékű gépek beszerzése közmunka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</si>
  <si>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</si>
  <si>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</si>
  <si>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</si>
  <si>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</si>
  <si>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</si>
  <si>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</si>
  <si>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</si>
  <si>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</si>
  <si>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</si>
  <si>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</si>
  <si>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Ibrányi Helytörténeti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</si>
  <si>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</si>
  <si>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</si>
  <si>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</si>
  <si>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</si>
  <si>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1801 hrsz</t>
  </si>
  <si>
    <t>Eu</t>
  </si>
  <si>
    <t>Kommunális adó</t>
  </si>
  <si>
    <t>4.8.</t>
  </si>
  <si>
    <t>Kommunnális adó</t>
  </si>
  <si>
    <t>TOP 4.3.1.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</si>
  <si>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</si>
  <si>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</si>
  <si>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</si>
  <si>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</si>
  <si>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</si>
  <si>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</si>
  <si>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Ibrány SE támogatása</t>
  </si>
  <si>
    <t>34.</t>
  </si>
  <si>
    <t>Ibárnyi Úszó Sportegyesület</t>
  </si>
  <si>
    <t>Felelősséggel Kultúránkért Összművésezti Egyesület</t>
  </si>
  <si>
    <t>Tánc</t>
  </si>
  <si>
    <t>helytört</t>
  </si>
  <si>
    <t>Ibrány jövő</t>
  </si>
  <si>
    <t>RFE</t>
  </si>
  <si>
    <t>TOP-1.2.1-15-SB1-2016-00016 A Rétköz turisztikai kínálatának integrált fejlesztése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</si>
  <si>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</si>
  <si>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</si>
  <si>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</si>
  <si>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</si>
  <si>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</si>
  <si>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</si>
  <si>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2019. évi előirányzat BEVÉTELEK</t>
  </si>
  <si>
    <t>2019. évi előirányzat</t>
  </si>
  <si>
    <t>Az önkormányzat által adott közvetett támogatások 2019. évben
(kedvezmények)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</si>
  <si>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</si>
  <si>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</si>
  <si>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</si>
  <si>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Kult.pótlék+bérkomp</t>
  </si>
  <si>
    <t>szoc. Ág+bérkomp</t>
  </si>
  <si>
    <t>2019</t>
  </si>
  <si>
    <t>Ebrendészeti telep kialakítása</t>
  </si>
  <si>
    <t>Ibrányi 4421 hrsz</t>
  </si>
  <si>
    <t>Ibrányi 0127/40-46 hrsz</t>
  </si>
  <si>
    <t>Gépjármű vásárlás</t>
  </si>
  <si>
    <t>TOP 5.3.1. pályázat beruházás</t>
  </si>
  <si>
    <t>ILMKS kazán</t>
  </si>
  <si>
    <t>Református iskola bővítése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</si>
  <si>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</si>
  <si>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</si>
  <si>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</si>
  <si>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</si>
  <si>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</si>
  <si>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</si>
  <si>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</si>
  <si>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</si>
  <si>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</si>
  <si>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</si>
  <si>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</si>
  <si>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</si>
  <si>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</si>
  <si>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</si>
  <si>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</si>
  <si>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</si>
  <si>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</si>
  <si>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</si>
  <si>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</si>
  <si>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</si>
  <si>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</si>
  <si>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</si>
  <si>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</si>
  <si>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</si>
  <si>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</si>
  <si>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</si>
  <si>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</si>
  <si>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</si>
  <si>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</si>
  <si>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</si>
  <si>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</si>
  <si>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</si>
  <si>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</si>
  <si>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</si>
  <si>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</si>
  <si>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</si>
  <si>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</si>
  <si>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a) 65. életéveét betöltött egyedül élő nőnek, férfinak, a korhatár elérését követő évtől (399 fő)</t>
  </si>
  <si>
    <t>b) 70. életévüket(mindketten) betöltött házaspárnak, a korhatár elérését követő évtől (244 fő)</t>
  </si>
  <si>
    <t>Aki saját háztartásában 3, vagy több kikorú gyermek eltartásáról gondoskodik (176 fő)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</si>
  <si>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</si>
  <si>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</si>
  <si>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</si>
  <si>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</si>
  <si>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</si>
  <si>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</si>
  <si>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Síremlék Berencsi Béla</t>
  </si>
  <si>
    <t>Árpád úti óvoda kazán felújítása</t>
  </si>
  <si>
    <t xml:space="preserve">Iskolában kazán felújítása </t>
  </si>
  <si>
    <t>TOP-5.3.1-16-SB1-2017-00005 Víz halad, a kő marad - A társadalmi koházió erősítése Ibrányban</t>
  </si>
  <si>
    <t>2019. Éves eredeti kiadási előirányzat: 1 586 113 ezer Ft</t>
  </si>
  <si>
    <t>Ibrányi 2297 hrsz</t>
  </si>
  <si>
    <t>Ibrányi 2298 hrsz</t>
  </si>
  <si>
    <t>Ibrányi 3005 hrsz</t>
  </si>
  <si>
    <t>Ibrányi 3006 hrsz</t>
  </si>
  <si>
    <t>Ibrányi 3007 hrsz</t>
  </si>
  <si>
    <t>Táncsics utca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</si>
</sst>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32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Fill="1" applyBorder="1" applyAlignment="1" applyProtection="1">
      <alignment horizontal="center" vertical="center" wrapText="1"/>
    </xf>
    <xf numFmtId="49" fontId="15" fillId="0" borderId="26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0" fillId="0" borderId="26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1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30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4" xfId="4" applyFont="1" applyFill="1" applyBorder="1" applyAlignment="1" applyProtection="1">
      <alignment horizontal="left" vertical="center" wrapText="1" indent="1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49" fontId="30" fillId="0" borderId="12" xfId="0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6" sqref="A6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653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2019.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5" t="s">
        <v>553</v>
      </c>
      <c r="B1" s="685"/>
      <c r="C1" s="685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2019.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107125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57540</v>
      </c>
    </row>
    <row r="9" spans="1:4" x14ac:dyDescent="0.25">
      <c r="A9" s="190" t="s">
        <v>19</v>
      </c>
      <c r="B9" s="393" t="s">
        <v>237</v>
      </c>
      <c r="C9" s="355">
        <v>1400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94" t="s">
        <v>188</v>
      </c>
      <c r="B11" s="695"/>
      <c r="C11" s="191">
        <f>SUM(C5:C10)</f>
        <v>166065</v>
      </c>
    </row>
    <row r="12" spans="1:4" ht="23.25" customHeight="1" x14ac:dyDescent="0.25">
      <c r="A12" s="696" t="s">
        <v>211</v>
      </c>
      <c r="B12" s="696"/>
      <c r="C12" s="696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.../2019.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5" t="str">
        <f>+CONCATENATE("Ibrány Város Önkormányzata ",CONCATENATE(LEFT(ÖSSZEFÜGGÉSEK!A5,4),". évi adósságot keletkeztető fejlesztési céljai"))</f>
        <v>Ibrány Város Önkormányzata 2019. évi adósságot keletkeztető fejlesztési céljai</v>
      </c>
      <c r="B1" s="685"/>
      <c r="C1" s="685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5"/>
      <c r="C5" s="192"/>
    </row>
    <row r="6" spans="1:4" x14ac:dyDescent="0.25">
      <c r="A6" s="189" t="s">
        <v>16</v>
      </c>
      <c r="B6" s="576"/>
      <c r="C6" s="193"/>
    </row>
    <row r="7" spans="1:4" ht="15.75" thickBot="1" x14ac:dyDescent="0.3">
      <c r="A7" s="190" t="s">
        <v>17</v>
      </c>
      <c r="B7" s="576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..../2019.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view="pageLayout" zoomScaleNormal="100" workbookViewId="0">
      <selection activeCell="B5" sqref="B5:F26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697" t="s">
        <v>0</v>
      </c>
      <c r="B1" s="697"/>
      <c r="C1" s="697"/>
      <c r="D1" s="697"/>
      <c r="E1" s="697"/>
      <c r="F1" s="697"/>
    </row>
    <row r="2" spans="1:6" ht="22.5" customHeight="1" thickBot="1" x14ac:dyDescent="0.3">
      <c r="A2" s="197"/>
      <c r="B2" s="58"/>
      <c r="C2" s="58"/>
      <c r="D2" s="58"/>
      <c r="E2" s="58"/>
      <c r="F2" s="571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2018. XII. 31-ig</v>
      </c>
      <c r="E3" s="199" t="str">
        <f>+'1.1.sz.mell.'!C3</f>
        <v>2019. évi előirányzat</v>
      </c>
      <c r="F3" s="55" t="str">
        <f>+CONCATENATE(LEFT(ÖSSZEFÜGGÉSEK!A5,4),". utáni szükséglet")</f>
        <v>2019.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550</v>
      </c>
    </row>
    <row r="5" spans="1:6" ht="15.95" customHeight="1" x14ac:dyDescent="0.2">
      <c r="A5" s="482" t="s">
        <v>610</v>
      </c>
      <c r="B5" s="25">
        <v>3511</v>
      </c>
      <c r="C5" s="483" t="s">
        <v>661</v>
      </c>
      <c r="D5" s="25"/>
      <c r="E5" s="25">
        <v>3511</v>
      </c>
      <c r="F5" s="59">
        <f>B5-D5-E5</f>
        <v>0</v>
      </c>
    </row>
    <row r="6" spans="1:6" ht="15.95" customHeight="1" x14ac:dyDescent="0.2">
      <c r="A6" s="482" t="s">
        <v>602</v>
      </c>
      <c r="B6" s="25">
        <f>SUM(B7:B14)</f>
        <v>12115</v>
      </c>
      <c r="C6" s="483" t="s">
        <v>661</v>
      </c>
      <c r="D6" s="25"/>
      <c r="E6" s="25">
        <f>SUM(E7:E14)</f>
        <v>12115</v>
      </c>
      <c r="F6" s="59">
        <f>B6-D6-E6</f>
        <v>0</v>
      </c>
    </row>
    <row r="7" spans="1:6" ht="15.95" customHeight="1" x14ac:dyDescent="0.2">
      <c r="A7" s="572" t="s">
        <v>626</v>
      </c>
      <c r="B7" s="573">
        <v>431</v>
      </c>
      <c r="C7" s="574" t="s">
        <v>661</v>
      </c>
      <c r="D7" s="573"/>
      <c r="E7" s="573">
        <v>431</v>
      </c>
      <c r="F7" s="59"/>
    </row>
    <row r="8" spans="1:6" ht="15.95" customHeight="1" x14ac:dyDescent="0.2">
      <c r="A8" s="572" t="s">
        <v>720</v>
      </c>
      <c r="B8" s="573">
        <v>335</v>
      </c>
      <c r="C8" s="574" t="s">
        <v>661</v>
      </c>
      <c r="D8" s="573"/>
      <c r="E8" s="573">
        <v>335</v>
      </c>
      <c r="F8" s="59"/>
    </row>
    <row r="9" spans="1:6" ht="15.95" customHeight="1" x14ac:dyDescent="0.2">
      <c r="A9" s="572" t="s">
        <v>721</v>
      </c>
      <c r="B9" s="573">
        <v>56</v>
      </c>
      <c r="C9" s="574" t="s">
        <v>661</v>
      </c>
      <c r="D9" s="573"/>
      <c r="E9" s="573">
        <v>56</v>
      </c>
      <c r="F9" s="59"/>
    </row>
    <row r="10" spans="1:6" ht="15.95" customHeight="1" x14ac:dyDescent="0.2">
      <c r="A10" s="572" t="s">
        <v>722</v>
      </c>
      <c r="B10" s="573">
        <v>157</v>
      </c>
      <c r="C10" s="574" t="s">
        <v>661</v>
      </c>
      <c r="D10" s="573"/>
      <c r="E10" s="573">
        <v>157</v>
      </c>
      <c r="F10" s="59"/>
    </row>
    <row r="11" spans="1:6" ht="15.95" customHeight="1" x14ac:dyDescent="0.2">
      <c r="A11" s="572" t="s">
        <v>723</v>
      </c>
      <c r="B11" s="573">
        <v>189</v>
      </c>
      <c r="C11" s="574" t="s">
        <v>661</v>
      </c>
      <c r="D11" s="573"/>
      <c r="E11" s="573">
        <v>189</v>
      </c>
      <c r="F11" s="59"/>
    </row>
    <row r="12" spans="1:6" ht="15.95" customHeight="1" x14ac:dyDescent="0.2">
      <c r="A12" s="572" t="s">
        <v>724</v>
      </c>
      <c r="B12" s="573">
        <v>63</v>
      </c>
      <c r="C12" s="574" t="s">
        <v>661</v>
      </c>
      <c r="D12" s="573"/>
      <c r="E12" s="573">
        <v>63</v>
      </c>
      <c r="F12" s="59"/>
    </row>
    <row r="13" spans="1:6" ht="15.95" customHeight="1" x14ac:dyDescent="0.2">
      <c r="A13" s="572" t="s">
        <v>663</v>
      </c>
      <c r="B13" s="573">
        <v>100</v>
      </c>
      <c r="C13" s="574" t="s">
        <v>661</v>
      </c>
      <c r="D13" s="573"/>
      <c r="E13" s="573">
        <v>100</v>
      </c>
      <c r="F13" s="59"/>
    </row>
    <row r="14" spans="1:6" ht="15.95" customHeight="1" x14ac:dyDescent="0.2">
      <c r="A14" s="572" t="s">
        <v>664</v>
      </c>
      <c r="B14" s="573">
        <v>10784</v>
      </c>
      <c r="C14" s="574" t="s">
        <v>661</v>
      </c>
      <c r="D14" s="573"/>
      <c r="E14" s="573">
        <v>10784</v>
      </c>
      <c r="F14" s="59"/>
    </row>
    <row r="15" spans="1:6" x14ac:dyDescent="0.2">
      <c r="A15" s="581" t="s">
        <v>603</v>
      </c>
      <c r="B15" s="25">
        <v>2000</v>
      </c>
      <c r="C15" s="483" t="s">
        <v>661</v>
      </c>
      <c r="D15" s="25"/>
      <c r="E15" s="25">
        <v>2000</v>
      </c>
      <c r="F15" s="59">
        <f t="shared" ref="F15:F25" si="0">B15-D15-E15</f>
        <v>0</v>
      </c>
    </row>
    <row r="16" spans="1:6" x14ac:dyDescent="0.2">
      <c r="A16" s="581" t="s">
        <v>665</v>
      </c>
      <c r="B16" s="25">
        <v>3500</v>
      </c>
      <c r="C16" s="483" t="s">
        <v>661</v>
      </c>
      <c r="D16" s="25"/>
      <c r="E16" s="25">
        <v>3500</v>
      </c>
      <c r="F16" s="59"/>
    </row>
    <row r="17" spans="1:6" ht="15.95" customHeight="1" x14ac:dyDescent="0.2">
      <c r="A17" s="581" t="s">
        <v>631</v>
      </c>
      <c r="B17" s="25">
        <f>278985-8174-3664</f>
        <v>267147</v>
      </c>
      <c r="C17" s="483" t="s">
        <v>661</v>
      </c>
      <c r="D17" s="25"/>
      <c r="E17" s="25">
        <f>278985-8174-3664</f>
        <v>267147</v>
      </c>
      <c r="F17" s="59">
        <f t="shared" si="0"/>
        <v>0</v>
      </c>
    </row>
    <row r="18" spans="1:6" ht="15.95" customHeight="1" x14ac:dyDescent="0.2">
      <c r="A18" s="581" t="s">
        <v>632</v>
      </c>
      <c r="B18" s="25">
        <v>47000</v>
      </c>
      <c r="C18" s="483" t="s">
        <v>661</v>
      </c>
      <c r="D18" s="25"/>
      <c r="E18" s="25">
        <v>47000</v>
      </c>
      <c r="F18" s="59">
        <f t="shared" si="0"/>
        <v>0</v>
      </c>
    </row>
    <row r="19" spans="1:6" ht="15.95" customHeight="1" x14ac:dyDescent="0.2">
      <c r="A19" s="581" t="s">
        <v>666</v>
      </c>
      <c r="B19" s="25">
        <v>2056</v>
      </c>
      <c r="C19" s="483" t="s">
        <v>661</v>
      </c>
      <c r="D19" s="25"/>
      <c r="E19" s="25">
        <v>2056</v>
      </c>
      <c r="F19" s="59">
        <f t="shared" si="0"/>
        <v>0</v>
      </c>
    </row>
    <row r="20" spans="1:6" ht="15.95" customHeight="1" x14ac:dyDescent="0.2">
      <c r="A20" s="581" t="s">
        <v>633</v>
      </c>
      <c r="B20" s="25">
        <f>65651-22655</f>
        <v>42996</v>
      </c>
      <c r="C20" s="483" t="s">
        <v>661</v>
      </c>
      <c r="D20" s="25"/>
      <c r="E20" s="25">
        <f>65651-22655</f>
        <v>42996</v>
      </c>
      <c r="F20" s="59">
        <f t="shared" si="0"/>
        <v>0</v>
      </c>
    </row>
    <row r="21" spans="1:6" ht="15.95" customHeight="1" x14ac:dyDescent="0.2">
      <c r="A21" s="581" t="s">
        <v>634</v>
      </c>
      <c r="B21" s="25">
        <f>90917-15507</f>
        <v>75410</v>
      </c>
      <c r="C21" s="483" t="s">
        <v>661</v>
      </c>
      <c r="D21" s="25"/>
      <c r="E21" s="25">
        <f>90917-15507</f>
        <v>75410</v>
      </c>
      <c r="F21" s="59">
        <f t="shared" si="0"/>
        <v>0</v>
      </c>
    </row>
    <row r="22" spans="1:6" ht="15.95" customHeight="1" x14ac:dyDescent="0.2">
      <c r="A22" s="562" t="s">
        <v>635</v>
      </c>
      <c r="B22" s="25">
        <v>75884</v>
      </c>
      <c r="C22" s="483" t="s">
        <v>661</v>
      </c>
      <c r="D22" s="25"/>
      <c r="E22" s="25">
        <v>75884</v>
      </c>
      <c r="F22" s="59">
        <f t="shared" si="0"/>
        <v>0</v>
      </c>
    </row>
    <row r="23" spans="1:6" ht="15.95" customHeight="1" x14ac:dyDescent="0.2">
      <c r="A23" s="482" t="s">
        <v>667</v>
      </c>
      <c r="B23" s="25">
        <v>3000</v>
      </c>
      <c r="C23" s="483" t="s">
        <v>661</v>
      </c>
      <c r="D23" s="25"/>
      <c r="E23" s="25">
        <v>3000</v>
      </c>
      <c r="F23" s="59">
        <f t="shared" si="0"/>
        <v>0</v>
      </c>
    </row>
    <row r="24" spans="1:6" ht="15.95" customHeight="1" x14ac:dyDescent="0.2">
      <c r="A24" s="589" t="s">
        <v>715</v>
      </c>
      <c r="B24" s="26">
        <v>4000</v>
      </c>
      <c r="C24" s="484" t="s">
        <v>661</v>
      </c>
      <c r="D24" s="26"/>
      <c r="E24" s="26">
        <v>4000</v>
      </c>
      <c r="F24" s="61">
        <f t="shared" si="0"/>
        <v>0</v>
      </c>
    </row>
    <row r="25" spans="1:6" ht="15.95" customHeight="1" thickBot="1" x14ac:dyDescent="0.25">
      <c r="A25" s="60" t="s">
        <v>668</v>
      </c>
      <c r="B25" s="26">
        <v>2500</v>
      </c>
      <c r="C25" s="484" t="s">
        <v>661</v>
      </c>
      <c r="D25" s="26"/>
      <c r="E25" s="26">
        <v>2500</v>
      </c>
      <c r="F25" s="61">
        <f t="shared" si="0"/>
        <v>0</v>
      </c>
    </row>
    <row r="26" spans="1:6" s="64" customFormat="1" ht="18" customHeight="1" thickBot="1" x14ac:dyDescent="0.25">
      <c r="A26" s="200" t="s">
        <v>61</v>
      </c>
      <c r="B26" s="62">
        <f>+B5+B6+B15+B17+B20+B21+B22+B23+B18+B19+B16+B25+B24</f>
        <v>541119</v>
      </c>
      <c r="C26" s="127"/>
      <c r="D26" s="62">
        <f>SUM(D5:D25)</f>
        <v>0</v>
      </c>
      <c r="E26" s="62">
        <f>+E5+E6+E15+E17+E20+E21+E22+E23+E18+E19+E16+E25+E24</f>
        <v>541119</v>
      </c>
      <c r="F26" s="63">
        <f>SUM(F5:F25)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../2019.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E9" sqref="E9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697" t="s">
        <v>1</v>
      </c>
      <c r="B1" s="697"/>
      <c r="C1" s="697"/>
      <c r="D1" s="697"/>
      <c r="E1" s="697"/>
      <c r="F1" s="697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2018. XII. 31-ig</v>
      </c>
      <c r="E3" s="199" t="str">
        <f>+'6.sz.mell.'!E3</f>
        <v>2019. évi előirányzat</v>
      </c>
      <c r="F3" s="525" t="str">
        <f>+CONCATENATE(LEFT(ÖSSZEFÜGGÉSEK!A5,4),". utáni szükséglet ",CHAR(10),"")</f>
        <v xml:space="preserve">2019.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550</v>
      </c>
    </row>
    <row r="5" spans="1:6" ht="15.95" customHeight="1" x14ac:dyDescent="0.2">
      <c r="A5" s="65" t="s">
        <v>662</v>
      </c>
      <c r="B5" s="66">
        <v>3550</v>
      </c>
      <c r="C5" s="485" t="s">
        <v>661</v>
      </c>
      <c r="D5" s="66"/>
      <c r="E5" s="66">
        <v>3550</v>
      </c>
      <c r="F5" s="67">
        <f t="shared" ref="F5:F11" si="0">B5-D5-E5</f>
        <v>0</v>
      </c>
    </row>
    <row r="6" spans="1:6" ht="15.95" customHeight="1" x14ac:dyDescent="0.2">
      <c r="A6" s="65" t="s">
        <v>716</v>
      </c>
      <c r="B6" s="66">
        <v>800</v>
      </c>
      <c r="C6" s="485" t="s">
        <v>661</v>
      </c>
      <c r="D6" s="66"/>
      <c r="E6" s="66">
        <v>800</v>
      </c>
      <c r="F6" s="67">
        <f t="shared" si="0"/>
        <v>0</v>
      </c>
    </row>
    <row r="7" spans="1:6" ht="15.95" customHeight="1" x14ac:dyDescent="0.2">
      <c r="A7" s="65" t="s">
        <v>717</v>
      </c>
      <c r="B7" s="66">
        <v>1000</v>
      </c>
      <c r="C7" s="485" t="s">
        <v>661</v>
      </c>
      <c r="D7" s="66"/>
      <c r="E7" s="66">
        <v>1000</v>
      </c>
      <c r="F7" s="67">
        <f t="shared" si="0"/>
        <v>0</v>
      </c>
    </row>
    <row r="8" spans="1:6" ht="15.95" customHeight="1" x14ac:dyDescent="0.2">
      <c r="A8" s="65" t="s">
        <v>725</v>
      </c>
      <c r="B8" s="66">
        <v>17651</v>
      </c>
      <c r="C8" s="485" t="s">
        <v>661</v>
      </c>
      <c r="D8" s="66"/>
      <c r="E8" s="66">
        <v>17651</v>
      </c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23001</v>
      </c>
      <c r="C12" s="128"/>
      <c r="D12" s="201">
        <f>SUM(D5:D11)</f>
        <v>0</v>
      </c>
      <c r="E12" s="201">
        <f>SUM(E5:E11)</f>
        <v>23001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.../2019.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6"/>
  <sheetViews>
    <sheetView view="pageLayout" topLeftCell="A164" zoomScaleNormal="100" workbookViewId="0">
      <selection activeCell="B166" sqref="B166:E166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8" t="s">
        <v>133</v>
      </c>
      <c r="B4" s="698" t="s">
        <v>646</v>
      </c>
      <c r="C4" s="698"/>
      <c r="D4" s="698"/>
      <c r="E4" s="698"/>
    </row>
    <row r="5" spans="1:5" ht="14.25" thickBot="1" x14ac:dyDescent="0.3">
      <c r="A5" s="222"/>
      <c r="B5" s="222"/>
      <c r="C5" s="222"/>
      <c r="D5" s="699" t="s">
        <v>126</v>
      </c>
      <c r="E5" s="699"/>
    </row>
    <row r="6" spans="1:5" ht="13.5" thickBot="1" x14ac:dyDescent="0.25">
      <c r="A6" s="223" t="s">
        <v>125</v>
      </c>
      <c r="B6" s="224">
        <v>2018</v>
      </c>
      <c r="C6" s="224">
        <v>2019</v>
      </c>
      <c r="D6" s="224">
        <v>2020</v>
      </c>
      <c r="E6" s="225" t="s">
        <v>48</v>
      </c>
    </row>
    <row r="7" spans="1:5" x14ac:dyDescent="0.2">
      <c r="A7" s="226" t="s">
        <v>127</v>
      </c>
      <c r="B7" s="90"/>
      <c r="C7" s="90">
        <f>+C18+C19-C9</f>
        <v>996</v>
      </c>
      <c r="D7" s="90"/>
      <c r="E7" s="227">
        <f t="shared" ref="E7:E13" si="0">SUM(B7:D7)</f>
        <v>996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>
        <v>47000</v>
      </c>
      <c r="D9" s="92"/>
      <c r="E9" s="231">
        <f t="shared" si="0"/>
        <v>47000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47996</v>
      </c>
      <c r="D14" s="233">
        <f>D7+SUM(D9:D13)</f>
        <v>0</v>
      </c>
      <c r="E14" s="234">
        <f>E7+SUM(E9:E13)</f>
        <v>47996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2018</v>
      </c>
      <c r="C16" s="224">
        <f>+C6</f>
        <v>2019</v>
      </c>
      <c r="D16" s="224">
        <f>+D6</f>
        <v>2020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>
        <v>47000</v>
      </c>
      <c r="D18" s="92"/>
      <c r="E18" s="231">
        <f t="shared" si="1"/>
        <v>47000</v>
      </c>
    </row>
    <row r="19" spans="1:5" x14ac:dyDescent="0.2">
      <c r="A19" s="230" t="s">
        <v>137</v>
      </c>
      <c r="B19" s="92"/>
      <c r="C19" s="92">
        <v>996</v>
      </c>
      <c r="D19" s="92"/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47996</v>
      </c>
      <c r="D24" s="233">
        <f>SUM(D17:D23)</f>
        <v>0</v>
      </c>
      <c r="E24" s="234">
        <f>SUM(E17:E23)</f>
        <v>47996</v>
      </c>
    </row>
    <row r="25" spans="1:5" x14ac:dyDescent="0.2">
      <c r="A25" s="586"/>
      <c r="B25" s="587"/>
      <c r="C25" s="587"/>
      <c r="D25" s="587"/>
      <c r="E25" s="587"/>
    </row>
    <row r="26" spans="1:5" x14ac:dyDescent="0.2">
      <c r="A26" s="586"/>
      <c r="B26" s="587"/>
      <c r="C26" s="587"/>
      <c r="D26" s="587"/>
      <c r="E26" s="587"/>
    </row>
    <row r="27" spans="1:5" x14ac:dyDescent="0.2">
      <c r="A27" s="586"/>
      <c r="B27" s="587"/>
      <c r="C27" s="587"/>
      <c r="D27" s="587"/>
      <c r="E27" s="587"/>
    </row>
    <row r="28" spans="1:5" ht="29.25" customHeight="1" x14ac:dyDescent="0.2">
      <c r="A28" s="588" t="s">
        <v>133</v>
      </c>
      <c r="B28" s="698" t="s">
        <v>647</v>
      </c>
      <c r="C28" s="698"/>
      <c r="D28" s="698"/>
      <c r="E28" s="698"/>
    </row>
    <row r="29" spans="1:5" ht="14.25" thickBot="1" x14ac:dyDescent="0.3">
      <c r="A29" s="222"/>
      <c r="B29" s="222"/>
      <c r="C29" s="222"/>
      <c r="D29" s="699" t="s">
        <v>126</v>
      </c>
      <c r="E29" s="699"/>
    </row>
    <row r="30" spans="1:5" ht="13.5" thickBot="1" x14ac:dyDescent="0.25">
      <c r="A30" s="223" t="s">
        <v>125</v>
      </c>
      <c r="B30" s="224">
        <v>2018</v>
      </c>
      <c r="C30" s="224">
        <v>2019</v>
      </c>
      <c r="D30" s="224">
        <v>2020</v>
      </c>
      <c r="E30" s="225" t="s">
        <v>48</v>
      </c>
    </row>
    <row r="31" spans="1:5" x14ac:dyDescent="0.2">
      <c r="A31" s="226" t="s">
        <v>127</v>
      </c>
      <c r="B31" s="90"/>
      <c r="C31" s="90">
        <f>+C48-C33</f>
        <v>4092</v>
      </c>
      <c r="D31" s="90"/>
      <c r="E31" s="227">
        <f t="shared" ref="E31:E37" si="2">SUM(B31:D31)</f>
        <v>4092</v>
      </c>
    </row>
    <row r="32" spans="1:5" x14ac:dyDescent="0.2">
      <c r="A32" s="228" t="s">
        <v>139</v>
      </c>
      <c r="B32" s="91"/>
      <c r="C32" s="91"/>
      <c r="D32" s="91"/>
      <c r="E32" s="229">
        <f t="shared" si="2"/>
        <v>0</v>
      </c>
    </row>
    <row r="33" spans="1:5" x14ac:dyDescent="0.2">
      <c r="A33" s="230" t="s">
        <v>128</v>
      </c>
      <c r="B33" s="92"/>
      <c r="C33" s="92">
        <v>72111</v>
      </c>
      <c r="D33" s="92"/>
      <c r="E33" s="231">
        <f t="shared" si="2"/>
        <v>72111</v>
      </c>
    </row>
    <row r="34" spans="1:5" x14ac:dyDescent="0.2">
      <c r="A34" s="230" t="s">
        <v>140</v>
      </c>
      <c r="B34" s="92"/>
      <c r="C34" s="92"/>
      <c r="D34" s="92"/>
      <c r="E34" s="231">
        <f t="shared" si="2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2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2"/>
        <v>0</v>
      </c>
    </row>
    <row r="37" spans="1:5" ht="13.5" thickBot="1" x14ac:dyDescent="0.25">
      <c r="A37" s="93"/>
      <c r="B37" s="94"/>
      <c r="C37" s="94"/>
      <c r="D37" s="94"/>
      <c r="E37" s="231">
        <f t="shared" si="2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76203</v>
      </c>
      <c r="D38" s="233">
        <f>D31+SUM(D33:D37)</f>
        <v>0</v>
      </c>
      <c r="E38" s="234">
        <f>E31+SUM(E33:E37)</f>
        <v>76203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2018</v>
      </c>
      <c r="C40" s="224">
        <f>+C30</f>
        <v>2019</v>
      </c>
      <c r="D40" s="224">
        <f>+D30</f>
        <v>2020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3">SUM(B41:D41)</f>
        <v>0</v>
      </c>
    </row>
    <row r="42" spans="1:5" x14ac:dyDescent="0.2">
      <c r="A42" s="235" t="s">
        <v>136</v>
      </c>
      <c r="B42" s="92"/>
      <c r="C42" s="92">
        <v>65651</v>
      </c>
      <c r="D42" s="92"/>
      <c r="E42" s="231">
        <f t="shared" si="3"/>
        <v>65651</v>
      </c>
    </row>
    <row r="43" spans="1:5" x14ac:dyDescent="0.2">
      <c r="A43" s="230" t="s">
        <v>137</v>
      </c>
      <c r="B43" s="92"/>
      <c r="C43" s="92">
        <v>10552</v>
      </c>
      <c r="D43" s="92"/>
      <c r="E43" s="231">
        <f t="shared" si="3"/>
        <v>10552</v>
      </c>
    </row>
    <row r="44" spans="1:5" x14ac:dyDescent="0.2">
      <c r="A44" s="230" t="s">
        <v>138</v>
      </c>
      <c r="B44" s="92"/>
      <c r="C44" s="92"/>
      <c r="D44" s="92"/>
      <c r="E44" s="231">
        <f t="shared" si="3"/>
        <v>0</v>
      </c>
    </row>
    <row r="45" spans="1:5" x14ac:dyDescent="0.2">
      <c r="A45" s="95"/>
      <c r="B45" s="92"/>
      <c r="C45" s="92"/>
      <c r="D45" s="92"/>
      <c r="E45" s="231">
        <f t="shared" si="3"/>
        <v>0</v>
      </c>
    </row>
    <row r="46" spans="1:5" x14ac:dyDescent="0.2">
      <c r="A46" s="95"/>
      <c r="B46" s="92"/>
      <c r="C46" s="92"/>
      <c r="D46" s="92"/>
      <c r="E46" s="231">
        <f t="shared" si="3"/>
        <v>0</v>
      </c>
    </row>
    <row r="47" spans="1:5" ht="13.5" thickBot="1" x14ac:dyDescent="0.25">
      <c r="A47" s="93"/>
      <c r="B47" s="94"/>
      <c r="C47" s="94"/>
      <c r="D47" s="94"/>
      <c r="E47" s="231">
        <f t="shared" si="3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76203</v>
      </c>
      <c r="D48" s="233">
        <f>SUM(D41:D47)</f>
        <v>0</v>
      </c>
      <c r="E48" s="234">
        <f>SUM(E41:E47)</f>
        <v>76203</v>
      </c>
    </row>
    <row r="49" spans="1:5" x14ac:dyDescent="0.2">
      <c r="A49" s="586"/>
      <c r="B49" s="587"/>
      <c r="C49" s="587"/>
      <c r="D49" s="587"/>
      <c r="E49" s="587"/>
    </row>
    <row r="50" spans="1:5" x14ac:dyDescent="0.2">
      <c r="A50" s="586"/>
      <c r="B50" s="587"/>
      <c r="C50" s="587"/>
      <c r="D50" s="587"/>
      <c r="E50" s="587"/>
    </row>
    <row r="51" spans="1:5" ht="28.5" customHeight="1" x14ac:dyDescent="0.2">
      <c r="A51" s="588" t="s">
        <v>133</v>
      </c>
      <c r="B51" s="698" t="s">
        <v>648</v>
      </c>
      <c r="C51" s="698"/>
      <c r="D51" s="698"/>
      <c r="E51" s="698"/>
    </row>
    <row r="52" spans="1:5" ht="14.25" thickBot="1" x14ac:dyDescent="0.3">
      <c r="A52" s="222"/>
      <c r="B52" s="222"/>
      <c r="C52" s="222"/>
      <c r="D52" s="699" t="s">
        <v>126</v>
      </c>
      <c r="E52" s="699"/>
    </row>
    <row r="53" spans="1:5" ht="13.5" thickBot="1" x14ac:dyDescent="0.25">
      <c r="A53" s="223" t="s">
        <v>125</v>
      </c>
      <c r="B53" s="224">
        <f>+B40</f>
        <v>2018</v>
      </c>
      <c r="C53" s="224">
        <f>+C40</f>
        <v>2019</v>
      </c>
      <c r="D53" s="224">
        <f>+D40</f>
        <v>2020</v>
      </c>
      <c r="E53" s="225" t="s">
        <v>48</v>
      </c>
    </row>
    <row r="54" spans="1:5" x14ac:dyDescent="0.2">
      <c r="A54" s="226" t="s">
        <v>127</v>
      </c>
      <c r="B54" s="90"/>
      <c r="C54" s="90">
        <f>+C71-C56</f>
        <v>11949</v>
      </c>
      <c r="D54" s="90"/>
      <c r="E54" s="227">
        <f t="shared" ref="E54:E60" si="4">SUM(B54:D54)</f>
        <v>11949</v>
      </c>
    </row>
    <row r="55" spans="1:5" x14ac:dyDescent="0.2">
      <c r="A55" s="228" t="s">
        <v>139</v>
      </c>
      <c r="B55" s="91"/>
      <c r="C55" s="91"/>
      <c r="D55" s="91"/>
      <c r="E55" s="229">
        <f t="shared" si="4"/>
        <v>0</v>
      </c>
    </row>
    <row r="56" spans="1:5" x14ac:dyDescent="0.2">
      <c r="A56" s="230" t="s">
        <v>128</v>
      </c>
      <c r="B56" s="92"/>
      <c r="C56" s="92">
        <v>81317</v>
      </c>
      <c r="D56" s="92"/>
      <c r="E56" s="231">
        <f t="shared" si="4"/>
        <v>81317</v>
      </c>
    </row>
    <row r="57" spans="1:5" x14ac:dyDescent="0.2">
      <c r="A57" s="230" t="s">
        <v>140</v>
      </c>
      <c r="B57" s="92"/>
      <c r="C57" s="92"/>
      <c r="D57" s="92"/>
      <c r="E57" s="231">
        <f t="shared" si="4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4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4"/>
        <v>0</v>
      </c>
    </row>
    <row r="60" spans="1:5" ht="13.5" thickBot="1" x14ac:dyDescent="0.25">
      <c r="A60" s="93"/>
      <c r="B60" s="94"/>
      <c r="C60" s="94"/>
      <c r="D60" s="94"/>
      <c r="E60" s="231">
        <f t="shared" si="4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93266</v>
      </c>
      <c r="D61" s="233">
        <f>D54+SUM(D56:D60)</f>
        <v>0</v>
      </c>
      <c r="E61" s="234">
        <f>E54+SUM(E56:E60)</f>
        <v>93266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2018</v>
      </c>
      <c r="C63" s="224">
        <f>+C53</f>
        <v>2019</v>
      </c>
      <c r="D63" s="224">
        <f>+D53</f>
        <v>2020</v>
      </c>
      <c r="E63" s="225" t="s">
        <v>48</v>
      </c>
    </row>
    <row r="64" spans="1:5" x14ac:dyDescent="0.2">
      <c r="A64" s="226" t="s">
        <v>135</v>
      </c>
      <c r="B64" s="90"/>
      <c r="C64" s="90"/>
      <c r="D64" s="90"/>
      <c r="E64" s="227">
        <f t="shared" ref="E64:E70" si="5">SUM(B64:D64)</f>
        <v>0</v>
      </c>
    </row>
    <row r="65" spans="1:5" x14ac:dyDescent="0.2">
      <c r="A65" s="235" t="s">
        <v>136</v>
      </c>
      <c r="B65" s="92"/>
      <c r="C65" s="92">
        <v>90917</v>
      </c>
      <c r="D65" s="92"/>
      <c r="E65" s="231">
        <f t="shared" si="5"/>
        <v>90917</v>
      </c>
    </row>
    <row r="66" spans="1:5" x14ac:dyDescent="0.2">
      <c r="A66" s="230" t="s">
        <v>137</v>
      </c>
      <c r="B66" s="92"/>
      <c r="C66" s="92">
        <v>2349</v>
      </c>
      <c r="D66" s="92"/>
      <c r="E66" s="231">
        <f t="shared" si="5"/>
        <v>2349</v>
      </c>
    </row>
    <row r="67" spans="1:5" x14ac:dyDescent="0.2">
      <c r="A67" s="230" t="s">
        <v>138</v>
      </c>
      <c r="B67" s="92"/>
      <c r="C67" s="92"/>
      <c r="D67" s="92"/>
      <c r="E67" s="231">
        <f t="shared" si="5"/>
        <v>0</v>
      </c>
    </row>
    <row r="68" spans="1:5" x14ac:dyDescent="0.2">
      <c r="A68" s="95"/>
      <c r="B68" s="92"/>
      <c r="C68" s="92"/>
      <c r="D68" s="92"/>
      <c r="E68" s="231">
        <f t="shared" si="5"/>
        <v>0</v>
      </c>
    </row>
    <row r="69" spans="1:5" x14ac:dyDescent="0.2">
      <c r="A69" s="95"/>
      <c r="B69" s="92"/>
      <c r="C69" s="92"/>
      <c r="D69" s="92"/>
      <c r="E69" s="231">
        <f t="shared" si="5"/>
        <v>0</v>
      </c>
    </row>
    <row r="70" spans="1:5" ht="13.5" thickBot="1" x14ac:dyDescent="0.25">
      <c r="A70" s="93"/>
      <c r="B70" s="94"/>
      <c r="C70" s="94"/>
      <c r="D70" s="94"/>
      <c r="E70" s="231">
        <f t="shared" si="5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93266</v>
      </c>
      <c r="D71" s="233">
        <f>SUM(D64:D70)</f>
        <v>0</v>
      </c>
      <c r="E71" s="234">
        <f>SUM(E64:E70)</f>
        <v>93266</v>
      </c>
    </row>
    <row r="72" spans="1:5" x14ac:dyDescent="0.2">
      <c r="A72" s="586"/>
      <c r="B72" s="587"/>
      <c r="C72" s="587"/>
      <c r="D72" s="587"/>
      <c r="E72" s="587"/>
    </row>
    <row r="73" spans="1:5" x14ac:dyDescent="0.2">
      <c r="A73" s="586"/>
      <c r="B73" s="587"/>
      <c r="C73" s="587"/>
      <c r="D73" s="587"/>
      <c r="E73" s="587"/>
    </row>
    <row r="74" spans="1:5" ht="29.25" customHeight="1" x14ac:dyDescent="0.2">
      <c r="A74" s="588" t="s">
        <v>133</v>
      </c>
      <c r="B74" s="698" t="s">
        <v>649</v>
      </c>
      <c r="C74" s="698"/>
      <c r="D74" s="698"/>
      <c r="E74" s="698"/>
    </row>
    <row r="75" spans="1:5" ht="14.25" thickBot="1" x14ac:dyDescent="0.3">
      <c r="A75" s="222"/>
      <c r="B75" s="222"/>
      <c r="C75" s="222"/>
      <c r="D75" s="699" t="s">
        <v>126</v>
      </c>
      <c r="E75" s="699"/>
    </row>
    <row r="76" spans="1:5" ht="13.5" thickBot="1" x14ac:dyDescent="0.25">
      <c r="A76" s="223" t="s">
        <v>125</v>
      </c>
      <c r="B76" s="224">
        <f>+B63</f>
        <v>2018</v>
      </c>
      <c r="C76" s="224">
        <f>+C63</f>
        <v>2019</v>
      </c>
      <c r="D76" s="224">
        <f>+D63</f>
        <v>2020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6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6"/>
        <v>0</v>
      </c>
    </row>
    <row r="79" spans="1:5" x14ac:dyDescent="0.2">
      <c r="A79" s="230" t="s">
        <v>128</v>
      </c>
      <c r="B79" s="92"/>
      <c r="C79" s="92">
        <v>83999</v>
      </c>
      <c r="D79" s="92"/>
      <c r="E79" s="231">
        <f t="shared" si="6"/>
        <v>83999</v>
      </c>
    </row>
    <row r="80" spans="1:5" x14ac:dyDescent="0.2">
      <c r="A80" s="230" t="s">
        <v>140</v>
      </c>
      <c r="B80" s="92"/>
      <c r="C80" s="92"/>
      <c r="D80" s="92"/>
      <c r="E80" s="231">
        <f t="shared" si="6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6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6"/>
        <v>0</v>
      </c>
    </row>
    <row r="83" spans="1:5" ht="13.5" thickBot="1" x14ac:dyDescent="0.25">
      <c r="A83" s="93"/>
      <c r="B83" s="94"/>
      <c r="C83" s="94"/>
      <c r="D83" s="94"/>
      <c r="E83" s="231">
        <f t="shared" si="6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83999</v>
      </c>
      <c r="D84" s="233">
        <f>D77+SUM(D79:D83)</f>
        <v>0</v>
      </c>
      <c r="E84" s="234">
        <f>E77+SUM(E79:E83)</f>
        <v>83999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2018</v>
      </c>
      <c r="C86" s="224">
        <f>+C76</f>
        <v>2019</v>
      </c>
      <c r="D86" s="224">
        <f>+D76</f>
        <v>2020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7">SUM(B87:D87)</f>
        <v>0</v>
      </c>
    </row>
    <row r="88" spans="1:5" x14ac:dyDescent="0.2">
      <c r="A88" s="235" t="s">
        <v>136</v>
      </c>
      <c r="B88" s="92"/>
      <c r="C88" s="92">
        <v>75884</v>
      </c>
      <c r="D88" s="92"/>
      <c r="E88" s="231">
        <f t="shared" si="7"/>
        <v>75884</v>
      </c>
    </row>
    <row r="89" spans="1:5" x14ac:dyDescent="0.2">
      <c r="A89" s="230" t="s">
        <v>137</v>
      </c>
      <c r="B89" s="92"/>
      <c r="C89" s="92">
        <v>8115</v>
      </c>
      <c r="D89" s="92"/>
      <c r="E89" s="231">
        <f t="shared" si="7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7"/>
        <v>0</v>
      </c>
    </row>
    <row r="91" spans="1:5" x14ac:dyDescent="0.2">
      <c r="A91" s="95"/>
      <c r="B91" s="92"/>
      <c r="C91" s="92"/>
      <c r="D91" s="92"/>
      <c r="E91" s="231">
        <f t="shared" si="7"/>
        <v>0</v>
      </c>
    </row>
    <row r="92" spans="1:5" x14ac:dyDescent="0.2">
      <c r="A92" s="95"/>
      <c r="B92" s="92"/>
      <c r="C92" s="92"/>
      <c r="D92" s="92"/>
      <c r="E92" s="231">
        <f t="shared" si="7"/>
        <v>0</v>
      </c>
    </row>
    <row r="93" spans="1:5" ht="13.5" thickBot="1" x14ac:dyDescent="0.25">
      <c r="A93" s="93"/>
      <c r="B93" s="94"/>
      <c r="C93" s="94"/>
      <c r="D93" s="94"/>
      <c r="E93" s="231">
        <f t="shared" si="7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83999</v>
      </c>
      <c r="D94" s="233">
        <f>SUM(D87:D93)</f>
        <v>0</v>
      </c>
      <c r="E94" s="234">
        <f>SUM(E87:E93)</f>
        <v>83999</v>
      </c>
    </row>
    <row r="95" spans="1:5" x14ac:dyDescent="0.2">
      <c r="A95" s="586"/>
      <c r="B95" s="587"/>
      <c r="C95" s="587"/>
      <c r="D95" s="587"/>
      <c r="E95" s="587"/>
    </row>
    <row r="96" spans="1:5" x14ac:dyDescent="0.2">
      <c r="A96" s="586"/>
      <c r="B96" s="587"/>
      <c r="C96" s="587"/>
      <c r="D96" s="587"/>
      <c r="E96" s="587"/>
    </row>
    <row r="97" spans="1:5" ht="32.25" customHeight="1" x14ac:dyDescent="0.2">
      <c r="A97" s="588" t="s">
        <v>133</v>
      </c>
      <c r="B97" s="698" t="s">
        <v>650</v>
      </c>
      <c r="C97" s="698"/>
      <c r="D97" s="698"/>
      <c r="E97" s="698"/>
    </row>
    <row r="98" spans="1:5" ht="14.25" thickBot="1" x14ac:dyDescent="0.3">
      <c r="A98" s="222"/>
      <c r="B98" s="222"/>
      <c r="C98" s="222"/>
      <c r="D98" s="699" t="s">
        <v>126</v>
      </c>
      <c r="E98" s="699"/>
    </row>
    <row r="99" spans="1:5" ht="13.5" thickBot="1" x14ac:dyDescent="0.25">
      <c r="A99" s="223" t="s">
        <v>125</v>
      </c>
      <c r="B99" s="224">
        <f>+B86</f>
        <v>2018</v>
      </c>
      <c r="C99" s="224">
        <f>+C86</f>
        <v>2019</v>
      </c>
      <c r="D99" s="224">
        <f>+D86</f>
        <v>2020</v>
      </c>
      <c r="E99" s="225" t="s">
        <v>48</v>
      </c>
    </row>
    <row r="100" spans="1:5" x14ac:dyDescent="0.2">
      <c r="A100" s="226" t="s">
        <v>127</v>
      </c>
      <c r="B100" s="90"/>
      <c r="C100" s="90">
        <f>+C117-C102</f>
        <v>-3794</v>
      </c>
      <c r="D100" s="90"/>
      <c r="E100" s="227">
        <f t="shared" ref="E100:E106" si="8">SUM(B100:D100)</f>
        <v>-3794</v>
      </c>
    </row>
    <row r="101" spans="1:5" x14ac:dyDescent="0.2">
      <c r="A101" s="228" t="s">
        <v>139</v>
      </c>
      <c r="B101" s="91"/>
      <c r="C101" s="91"/>
      <c r="D101" s="91"/>
      <c r="E101" s="229">
        <f t="shared" si="8"/>
        <v>0</v>
      </c>
    </row>
    <row r="102" spans="1:5" x14ac:dyDescent="0.2">
      <c r="A102" s="230" t="s">
        <v>128</v>
      </c>
      <c r="B102" s="92"/>
      <c r="C102" s="92">
        <v>289036</v>
      </c>
      <c r="D102" s="92"/>
      <c r="E102" s="231">
        <f t="shared" si="8"/>
        <v>289036</v>
      </c>
    </row>
    <row r="103" spans="1:5" x14ac:dyDescent="0.2">
      <c r="A103" s="230" t="s">
        <v>140</v>
      </c>
      <c r="B103" s="92"/>
      <c r="C103" s="92"/>
      <c r="D103" s="92"/>
      <c r="E103" s="231">
        <f t="shared" si="8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8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8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8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285242</v>
      </c>
      <c r="D107" s="233">
        <f>D100+SUM(D102:D106)</f>
        <v>0</v>
      </c>
      <c r="E107" s="234">
        <f>E100+SUM(E102:E106)</f>
        <v>285242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2018</v>
      </c>
      <c r="C109" s="224">
        <f>+C99</f>
        <v>2019</v>
      </c>
      <c r="D109" s="224">
        <f>+D99</f>
        <v>2020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9">SUM(B110:D110)</f>
        <v>0</v>
      </c>
    </row>
    <row r="111" spans="1:5" x14ac:dyDescent="0.2">
      <c r="A111" s="235" t="s">
        <v>136</v>
      </c>
      <c r="B111" s="92"/>
      <c r="C111" s="92">
        <v>278985</v>
      </c>
      <c r="D111" s="92"/>
      <c r="E111" s="231">
        <f t="shared" si="9"/>
        <v>278985</v>
      </c>
    </row>
    <row r="112" spans="1:5" x14ac:dyDescent="0.2">
      <c r="A112" s="230" t="s">
        <v>137</v>
      </c>
      <c r="B112" s="92"/>
      <c r="C112" s="92">
        <v>6257</v>
      </c>
      <c r="D112" s="92"/>
      <c r="E112" s="231">
        <f t="shared" si="9"/>
        <v>6257</v>
      </c>
    </row>
    <row r="113" spans="1:5" x14ac:dyDescent="0.2">
      <c r="A113" s="230" t="s">
        <v>138</v>
      </c>
      <c r="B113" s="92"/>
      <c r="C113" s="92"/>
      <c r="D113" s="92"/>
      <c r="E113" s="231">
        <f t="shared" si="9"/>
        <v>0</v>
      </c>
    </row>
    <row r="114" spans="1:5" x14ac:dyDescent="0.2">
      <c r="A114" s="95"/>
      <c r="B114" s="92"/>
      <c r="C114" s="92"/>
      <c r="D114" s="92"/>
      <c r="E114" s="231">
        <f t="shared" si="9"/>
        <v>0</v>
      </c>
    </row>
    <row r="115" spans="1:5" x14ac:dyDescent="0.2">
      <c r="A115" s="95"/>
      <c r="B115" s="92"/>
      <c r="C115" s="92"/>
      <c r="D115" s="92"/>
      <c r="E115" s="231">
        <f t="shared" si="9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9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285242</v>
      </c>
      <c r="D117" s="233">
        <f>SUM(D110:D116)</f>
        <v>0</v>
      </c>
      <c r="E117" s="234">
        <f>SUM(E110:E116)</f>
        <v>285242</v>
      </c>
    </row>
    <row r="118" spans="1:5" x14ac:dyDescent="0.2">
      <c r="A118" s="586"/>
      <c r="B118" s="587"/>
      <c r="C118" s="587"/>
      <c r="D118" s="587"/>
      <c r="E118" s="587"/>
    </row>
    <row r="119" spans="1:5" x14ac:dyDescent="0.2">
      <c r="A119" s="586"/>
      <c r="B119" s="587"/>
      <c r="C119" s="587"/>
      <c r="D119" s="587"/>
      <c r="E119" s="587"/>
    </row>
    <row r="120" spans="1:5" ht="40.5" customHeight="1" x14ac:dyDescent="0.2">
      <c r="A120" s="588" t="s">
        <v>133</v>
      </c>
      <c r="B120" s="698" t="s">
        <v>651</v>
      </c>
      <c r="C120" s="698"/>
      <c r="D120" s="698"/>
      <c r="E120" s="698"/>
    </row>
    <row r="121" spans="1:5" ht="14.25" thickBot="1" x14ac:dyDescent="0.3">
      <c r="A121" s="222"/>
      <c r="B121" s="222"/>
      <c r="C121" s="222"/>
      <c r="D121" s="699" t="s">
        <v>126</v>
      </c>
      <c r="E121" s="699"/>
    </row>
    <row r="122" spans="1:5" ht="13.5" thickBot="1" x14ac:dyDescent="0.25">
      <c r="A122" s="223" t="s">
        <v>125</v>
      </c>
      <c r="B122" s="224">
        <f>+B109</f>
        <v>2018</v>
      </c>
      <c r="C122" s="224">
        <f>+C109</f>
        <v>2019</v>
      </c>
      <c r="D122" s="224">
        <f>+D109</f>
        <v>2020</v>
      </c>
      <c r="E122" s="225" t="s">
        <v>48</v>
      </c>
    </row>
    <row r="123" spans="1:5" x14ac:dyDescent="0.2">
      <c r="A123" s="226" t="s">
        <v>127</v>
      </c>
      <c r="B123" s="90"/>
      <c r="C123" s="90">
        <f>+C140-C125</f>
        <v>-1333</v>
      </c>
      <c r="D123" s="90"/>
      <c r="E123" s="227">
        <f t="shared" ref="E123:E129" si="10">SUM(B123:D123)</f>
        <v>-1333</v>
      </c>
    </row>
    <row r="124" spans="1:5" x14ac:dyDescent="0.2">
      <c r="A124" s="228" t="s">
        <v>139</v>
      </c>
      <c r="B124" s="91"/>
      <c r="C124" s="91"/>
      <c r="D124" s="91"/>
      <c r="E124" s="229">
        <f t="shared" si="10"/>
        <v>0</v>
      </c>
    </row>
    <row r="125" spans="1:5" x14ac:dyDescent="0.2">
      <c r="A125" s="230" t="s">
        <v>128</v>
      </c>
      <c r="B125" s="92">
        <f>+B140-B123</f>
        <v>0</v>
      </c>
      <c r="C125" s="92">
        <v>5242</v>
      </c>
      <c r="D125" s="92">
        <f>+D140-D123</f>
        <v>0</v>
      </c>
      <c r="E125" s="231">
        <f t="shared" si="10"/>
        <v>5242</v>
      </c>
    </row>
    <row r="126" spans="1:5" x14ac:dyDescent="0.2">
      <c r="A126" s="230" t="s">
        <v>140</v>
      </c>
      <c r="B126" s="92"/>
      <c r="C126" s="92"/>
      <c r="D126" s="92"/>
      <c r="E126" s="231">
        <f t="shared" si="10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0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0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0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3909</v>
      </c>
      <c r="D130" s="233">
        <f>D123+SUM(D125:D129)</f>
        <v>0</v>
      </c>
      <c r="E130" s="234">
        <f>E123+SUM(E125:E129)</f>
        <v>3909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2018</v>
      </c>
      <c r="C132" s="224">
        <f>+C122</f>
        <v>2019</v>
      </c>
      <c r="D132" s="224">
        <f>+D122</f>
        <v>2020</v>
      </c>
      <c r="E132" s="225" t="s">
        <v>48</v>
      </c>
    </row>
    <row r="133" spans="1:5" x14ac:dyDescent="0.2">
      <c r="A133" s="226" t="s">
        <v>135</v>
      </c>
      <c r="B133" s="90"/>
      <c r="C133" s="90">
        <f>2400+468</f>
        <v>2868</v>
      </c>
      <c r="D133" s="90"/>
      <c r="E133" s="227">
        <f t="shared" ref="E133:E139" si="11">SUM(B133:D133)</f>
        <v>2868</v>
      </c>
    </row>
    <row r="134" spans="1:5" x14ac:dyDescent="0.2">
      <c r="A134" s="235" t="s">
        <v>136</v>
      </c>
      <c r="B134" s="92"/>
      <c r="C134" s="92"/>
      <c r="D134" s="92"/>
      <c r="E134" s="231">
        <f t="shared" si="11"/>
        <v>0</v>
      </c>
    </row>
    <row r="135" spans="1:5" x14ac:dyDescent="0.2">
      <c r="A135" s="230" t="s">
        <v>137</v>
      </c>
      <c r="B135" s="92"/>
      <c r="C135" s="92">
        <f>1041-C136</f>
        <v>718</v>
      </c>
      <c r="D135" s="92"/>
      <c r="E135" s="231">
        <f t="shared" si="11"/>
        <v>718</v>
      </c>
    </row>
    <row r="136" spans="1:5" x14ac:dyDescent="0.2">
      <c r="A136" s="230" t="s">
        <v>138</v>
      </c>
      <c r="B136" s="92"/>
      <c r="C136" s="92">
        <v>323</v>
      </c>
      <c r="D136" s="92"/>
      <c r="E136" s="231">
        <f t="shared" si="11"/>
        <v>323</v>
      </c>
    </row>
    <row r="137" spans="1:5" x14ac:dyDescent="0.2">
      <c r="A137" s="95"/>
      <c r="B137" s="92"/>
      <c r="C137" s="92"/>
      <c r="D137" s="92"/>
      <c r="E137" s="231">
        <f t="shared" si="11"/>
        <v>0</v>
      </c>
    </row>
    <row r="138" spans="1:5" x14ac:dyDescent="0.2">
      <c r="A138" s="95"/>
      <c r="B138" s="92"/>
      <c r="C138" s="92"/>
      <c r="D138" s="92"/>
      <c r="E138" s="231">
        <f t="shared" si="11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1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3909</v>
      </c>
      <c r="D140" s="233">
        <f>SUM(D133:D139)</f>
        <v>0</v>
      </c>
      <c r="E140" s="234">
        <f>SUM(E133:E139)</f>
        <v>3909</v>
      </c>
    </row>
    <row r="141" spans="1:5" x14ac:dyDescent="0.2">
      <c r="A141" s="586"/>
      <c r="B141" s="587"/>
      <c r="C141" s="587"/>
      <c r="D141" s="587"/>
      <c r="E141" s="587"/>
    </row>
    <row r="142" spans="1:5" x14ac:dyDescent="0.2">
      <c r="A142" s="586"/>
      <c r="B142" s="587"/>
      <c r="C142" s="587"/>
      <c r="D142" s="587"/>
      <c r="E142" s="587"/>
    </row>
    <row r="143" spans="1:5" ht="42" customHeight="1" x14ac:dyDescent="0.2">
      <c r="A143" s="588" t="s">
        <v>133</v>
      </c>
      <c r="B143" s="698" t="s">
        <v>652</v>
      </c>
      <c r="C143" s="698"/>
      <c r="D143" s="698"/>
      <c r="E143" s="698"/>
    </row>
    <row r="144" spans="1:5" ht="14.25" thickBot="1" x14ac:dyDescent="0.3">
      <c r="A144" s="222"/>
      <c r="B144" s="222"/>
      <c r="C144" s="222"/>
      <c r="D144" s="699" t="s">
        <v>126</v>
      </c>
      <c r="E144" s="699"/>
    </row>
    <row r="145" spans="1:5" ht="13.5" thickBot="1" x14ac:dyDescent="0.25">
      <c r="A145" s="223" t="s">
        <v>125</v>
      </c>
      <c r="B145" s="224">
        <f>+B132</f>
        <v>2018</v>
      </c>
      <c r="C145" s="224">
        <f>+C132</f>
        <v>2019</v>
      </c>
      <c r="D145" s="224">
        <f>+D132</f>
        <v>2020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/>
      <c r="E146" s="227">
        <f t="shared" ref="E146:E152" si="12">SUM(B146:D146)</f>
        <v>1671</v>
      </c>
    </row>
    <row r="147" spans="1:5" x14ac:dyDescent="0.2">
      <c r="A147" s="228" t="s">
        <v>139</v>
      </c>
      <c r="B147" s="91"/>
      <c r="C147" s="91"/>
      <c r="D147" s="91"/>
      <c r="E147" s="229">
        <f t="shared" si="12"/>
        <v>0</v>
      </c>
    </row>
    <row r="148" spans="1:5" x14ac:dyDescent="0.2">
      <c r="A148" s="230" t="s">
        <v>128</v>
      </c>
      <c r="B148" s="92"/>
      <c r="C148" s="92">
        <v>29323</v>
      </c>
      <c r="D148" s="92"/>
      <c r="E148" s="231">
        <f t="shared" si="12"/>
        <v>29323</v>
      </c>
    </row>
    <row r="149" spans="1:5" x14ac:dyDescent="0.2">
      <c r="A149" s="230" t="s">
        <v>140</v>
      </c>
      <c r="B149" s="92"/>
      <c r="C149" s="92"/>
      <c r="D149" s="92"/>
      <c r="E149" s="231">
        <f t="shared" si="12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2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2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2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0</v>
      </c>
      <c r="E153" s="234">
        <f>E146+SUM(E148:E152)</f>
        <v>30994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2018</v>
      </c>
      <c r="C155" s="224">
        <f>+C145</f>
        <v>2019</v>
      </c>
      <c r="D155" s="224">
        <f>+D145</f>
        <v>2020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/>
      <c r="E156" s="227">
        <f t="shared" ref="E156:E162" si="13">SUM(B156:D156)</f>
        <v>11742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3"/>
        <v>19252</v>
      </c>
    </row>
    <row r="158" spans="1:5" x14ac:dyDescent="0.2">
      <c r="A158" s="230" t="s">
        <v>137</v>
      </c>
      <c r="B158" s="92"/>
      <c r="C158" s="92"/>
      <c r="D158" s="92"/>
      <c r="E158" s="231">
        <f t="shared" si="13"/>
        <v>0</v>
      </c>
    </row>
    <row r="159" spans="1:5" x14ac:dyDescent="0.2">
      <c r="A159" s="230" t="s">
        <v>138</v>
      </c>
      <c r="B159" s="92"/>
      <c r="C159" s="92"/>
      <c r="D159" s="92"/>
      <c r="E159" s="231">
        <f t="shared" si="13"/>
        <v>0</v>
      </c>
    </row>
    <row r="160" spans="1:5" x14ac:dyDescent="0.2">
      <c r="A160" s="95"/>
      <c r="B160" s="92"/>
      <c r="C160" s="92"/>
      <c r="D160" s="92"/>
      <c r="E160" s="231">
        <f t="shared" si="13"/>
        <v>0</v>
      </c>
    </row>
    <row r="161" spans="1:5" x14ac:dyDescent="0.2">
      <c r="A161" s="95"/>
      <c r="B161" s="92"/>
      <c r="C161" s="92"/>
      <c r="D161" s="92"/>
      <c r="E161" s="231">
        <f t="shared" si="13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3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0</v>
      </c>
      <c r="E163" s="234">
        <f>SUM(E156:E162)</f>
        <v>30994</v>
      </c>
    </row>
    <row r="164" spans="1:5" x14ac:dyDescent="0.2">
      <c r="A164" s="586"/>
      <c r="B164" s="587"/>
      <c r="C164" s="587"/>
      <c r="D164" s="587"/>
      <c r="E164" s="587"/>
    </row>
    <row r="165" spans="1:5" x14ac:dyDescent="0.2">
      <c r="A165" s="586"/>
      <c r="B165" s="587"/>
      <c r="C165" s="587"/>
      <c r="D165" s="587"/>
      <c r="E165" s="587"/>
    </row>
    <row r="166" spans="1:5" ht="36.75" customHeight="1" x14ac:dyDescent="0.2">
      <c r="A166" s="588" t="s">
        <v>133</v>
      </c>
      <c r="B166" s="698" t="s">
        <v>718</v>
      </c>
      <c r="C166" s="698"/>
      <c r="D166" s="698"/>
      <c r="E166" s="698"/>
    </row>
    <row r="167" spans="1:5" ht="14.25" thickBot="1" x14ac:dyDescent="0.3">
      <c r="A167" s="222"/>
      <c r="B167" s="222"/>
      <c r="C167" s="222"/>
      <c r="D167" s="699" t="s">
        <v>126</v>
      </c>
      <c r="E167" s="699"/>
    </row>
    <row r="168" spans="1:5" ht="13.5" thickBot="1" x14ac:dyDescent="0.25">
      <c r="A168" s="223" t="s">
        <v>125</v>
      </c>
      <c r="B168" s="224">
        <f>+B155</f>
        <v>2018</v>
      </c>
      <c r="C168" s="224">
        <f>+C155</f>
        <v>2019</v>
      </c>
      <c r="D168" s="224">
        <f>+D155</f>
        <v>2020</v>
      </c>
      <c r="E168" s="225" t="s">
        <v>48</v>
      </c>
    </row>
    <row r="169" spans="1:5" x14ac:dyDescent="0.2">
      <c r="A169" s="226" t="s">
        <v>127</v>
      </c>
      <c r="B169" s="90"/>
      <c r="C169" s="90">
        <f>+C186-C171</f>
        <v>-625</v>
      </c>
      <c r="D169" s="90"/>
      <c r="E169" s="227">
        <f t="shared" ref="E169:E175" si="14">SUM(B169:D169)</f>
        <v>-625</v>
      </c>
    </row>
    <row r="170" spans="1:5" x14ac:dyDescent="0.2">
      <c r="A170" s="228" t="s">
        <v>139</v>
      </c>
      <c r="B170" s="91"/>
      <c r="C170" s="91"/>
      <c r="D170" s="91"/>
      <c r="E170" s="229">
        <f t="shared" si="14"/>
        <v>0</v>
      </c>
    </row>
    <row r="171" spans="1:5" x14ac:dyDescent="0.2">
      <c r="A171" s="230" t="s">
        <v>128</v>
      </c>
      <c r="B171" s="92"/>
      <c r="C171" s="92">
        <v>8834</v>
      </c>
      <c r="D171" s="92"/>
      <c r="E171" s="231">
        <f t="shared" si="14"/>
        <v>8834</v>
      </c>
    </row>
    <row r="172" spans="1:5" x14ac:dyDescent="0.2">
      <c r="A172" s="230" t="s">
        <v>140</v>
      </c>
      <c r="B172" s="92"/>
      <c r="C172" s="92"/>
      <c r="D172" s="92"/>
      <c r="E172" s="231">
        <f t="shared" si="14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4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4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4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8209</v>
      </c>
      <c r="D176" s="233">
        <f>D169+SUM(D171:D175)</f>
        <v>0</v>
      </c>
      <c r="E176" s="234">
        <f>E169+SUM(E171:E175)</f>
        <v>8209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2018</v>
      </c>
      <c r="C178" s="224">
        <f>+C168</f>
        <v>2019</v>
      </c>
      <c r="D178" s="224">
        <f>+D168</f>
        <v>2020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/>
      <c r="E179" s="227">
        <f t="shared" ref="E179:E185" si="15">SUM(B179:D179)</f>
        <v>0</v>
      </c>
    </row>
    <row r="180" spans="1:5" x14ac:dyDescent="0.2">
      <c r="A180" s="235" t="s">
        <v>136</v>
      </c>
      <c r="B180" s="92"/>
      <c r="C180" s="92">
        <v>2056</v>
      </c>
      <c r="D180" s="92"/>
      <c r="E180" s="231">
        <f t="shared" si="15"/>
        <v>2056</v>
      </c>
    </row>
    <row r="181" spans="1:5" x14ac:dyDescent="0.2">
      <c r="A181" s="230" t="s">
        <v>137</v>
      </c>
      <c r="B181" s="92"/>
      <c r="C181" s="92">
        <v>6153</v>
      </c>
      <c r="D181" s="92"/>
      <c r="E181" s="231">
        <f t="shared" si="15"/>
        <v>6153</v>
      </c>
    </row>
    <row r="182" spans="1:5" x14ac:dyDescent="0.2">
      <c r="A182" s="230" t="s">
        <v>138</v>
      </c>
      <c r="B182" s="92"/>
      <c r="C182" s="92"/>
      <c r="D182" s="92"/>
      <c r="E182" s="231">
        <f t="shared" si="15"/>
        <v>0</v>
      </c>
    </row>
    <row r="183" spans="1:5" x14ac:dyDescent="0.2">
      <c r="A183" s="95"/>
      <c r="B183" s="92"/>
      <c r="C183" s="92"/>
      <c r="D183" s="92"/>
      <c r="E183" s="231">
        <f t="shared" si="15"/>
        <v>0</v>
      </c>
    </row>
    <row r="184" spans="1:5" x14ac:dyDescent="0.2">
      <c r="A184" s="95"/>
      <c r="B184" s="92"/>
      <c r="C184" s="92"/>
      <c r="D184" s="92"/>
      <c r="E184" s="231">
        <f t="shared" si="15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5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8209</v>
      </c>
      <c r="D186" s="233">
        <f>SUM(D179:D185)</f>
        <v>0</v>
      </c>
      <c r="E186" s="234">
        <f>SUM(E179:E185)</f>
        <v>8209</v>
      </c>
    </row>
  </sheetData>
  <mergeCells count="16"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  <mergeCell ref="B120:E120"/>
    <mergeCell ref="D121:E121"/>
  </mergeCells>
  <phoneticPr fontId="30" type="noConversion"/>
  <conditionalFormatting sqref="E7:E14 B14:D14 E17:E25 B24:D25 B49:E50 B72:E73 B95:E96 B118:E119 B141:E142 B164:E165 B26:E27">
    <cfRule type="cellIs" dxfId="8" priority="10" stopIfTrue="1" operator="equal">
      <formula>0</formula>
    </cfRule>
  </conditionalFormatting>
  <conditionalFormatting sqref="E31:E38 B38:D38 E41:E48 B48:D48">
    <cfRule type="cellIs" dxfId="7" priority="8" stopIfTrue="1" operator="equal">
      <formula>0</formula>
    </cfRule>
  </conditionalFormatting>
  <conditionalFormatting sqref="E54:E61 B61:D61 E64:E71 B71:D71">
    <cfRule type="cellIs" dxfId="6" priority="7" stopIfTrue="1" operator="equal">
      <formula>0</formula>
    </cfRule>
  </conditionalFormatting>
  <conditionalFormatting sqref="E77:E84 B84:D84 E87:E94 B94:D94">
    <cfRule type="cellIs" dxfId="5" priority="6" stopIfTrue="1" operator="equal">
      <formula>0</formula>
    </cfRule>
  </conditionalFormatting>
  <conditionalFormatting sqref="E100:E107 B107:D107 E110:E117 B117:D117">
    <cfRule type="cellIs" dxfId="4" priority="5" stopIfTrue="1" operator="equal">
      <formula>0</formula>
    </cfRule>
  </conditionalFormatting>
  <conditionalFormatting sqref="E123:E130 B130:D130 E133:E140 B140:D140">
    <cfRule type="cellIs" dxfId="3" priority="4" stopIfTrue="1" operator="equal">
      <formula>0</formula>
    </cfRule>
  </conditionalFormatting>
  <conditionalFormatting sqref="E146:E153 B153:D153 E156:E163 B163:D163">
    <cfRule type="cellIs" dxfId="2" priority="3" stopIfTrue="1" operator="equal">
      <formula>0</formula>
    </cfRule>
  </conditionalFormatting>
  <conditionalFormatting sqref="E169:E176 B176:D176 E179:E186 B186:D186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..../2019.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zoomScale="130" zoomScaleNormal="130" zoomScaleSheetLayoutView="85" workbookViewId="0">
      <selection activeCell="C8" sqref="C8:C157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…./2019. (…..)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513378887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209130731</v>
      </c>
    </row>
    <row r="10" spans="1:5" s="99" customFormat="1" ht="12" customHeight="1" x14ac:dyDescent="0.2">
      <c r="A10" s="445" t="s">
        <v>93</v>
      </c>
      <c r="B10" s="426" t="s">
        <v>242</v>
      </c>
      <c r="C10" s="299">
        <f>'9.1.1. sz. mell ÖNK'!C10+'9.1.2. sz. mell ÖNK'!C10+'9.1.3. sz. mell ÖNK'!C10</f>
        <v>71626400</v>
      </c>
      <c r="E10" s="541">
        <f>SUM(C9:C12)</f>
        <v>489123807</v>
      </c>
    </row>
    <row r="11" spans="1:5" s="99" customFormat="1" ht="12" customHeight="1" x14ac:dyDescent="0.2">
      <c r="A11" s="445" t="s">
        <v>94</v>
      </c>
      <c r="B11" s="426" t="s">
        <v>538</v>
      </c>
      <c r="C11" s="299">
        <f>'9.1.1. sz. mell ÖNK'!C11+'9.1.2. sz. mell ÖNK'!C11+'9.1.3. sz. mell ÖNK'!C11</f>
        <v>197508581</v>
      </c>
    </row>
    <row r="12" spans="1:5" s="99" customFormat="1" ht="12" customHeight="1" x14ac:dyDescent="0.2">
      <c r="A12" s="445" t="s">
        <v>95</v>
      </c>
      <c r="B12" s="426" t="s">
        <v>244</v>
      </c>
      <c r="C12" s="299">
        <f>'9.1.1. sz. mell ÖNK'!C12+'9.1.2. sz. mell ÖNK'!C12+'9.1.3. sz. mell ÖNK'!C12</f>
        <v>10858095</v>
      </c>
    </row>
    <row r="13" spans="1:5" s="99" customFormat="1" ht="12" customHeight="1" x14ac:dyDescent="0.2">
      <c r="A13" s="445" t="s">
        <v>141</v>
      </c>
      <c r="B13" s="426" t="s">
        <v>493</v>
      </c>
      <c r="C13" s="299">
        <f>'9.1.1. sz. mell ÖNK'!C13+'9.1.2. sz. mell ÖNK'!C13+'9.1.3. sz. mell ÖNK'!C13</f>
        <v>24255080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9">
        <f>'9.1.1. sz. mell ÖNK'!C14+'9.1.2. sz. mell ÖNK'!C14+'9.1.3. sz. mell ÖNK'!C14</f>
        <v>0</v>
      </c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194027327</v>
      </c>
    </row>
    <row r="16" spans="1:5" s="98" customFormat="1" ht="12" customHeight="1" x14ac:dyDescent="0.2">
      <c r="A16" s="444" t="s">
        <v>98</v>
      </c>
      <c r="B16" s="425" t="s">
        <v>246</v>
      </c>
      <c r="C16" s="299">
        <f>'9.1.1. sz. mell ÖNK'!C16+'9.1.2. sz. mell ÖNK'!C16+'9.1.3. sz. mell ÖNK'!C16</f>
        <v>0</v>
      </c>
    </row>
    <row r="17" spans="1:3" s="98" customFormat="1" ht="12" customHeight="1" x14ac:dyDescent="0.2">
      <c r="A17" s="445" t="s">
        <v>99</v>
      </c>
      <c r="B17" s="426" t="s">
        <v>247</v>
      </c>
      <c r="C17" s="299">
        <f>'9.1.1. sz. mell ÖNK'!C17+'9.1.2. sz. mell ÖNK'!C17+'9.1.3. sz. mell ÖNK'!C17</f>
        <v>0</v>
      </c>
    </row>
    <row r="18" spans="1:3" s="98" customFormat="1" ht="12" customHeight="1" x14ac:dyDescent="0.2">
      <c r="A18" s="445" t="s">
        <v>100</v>
      </c>
      <c r="B18" s="426" t="s">
        <v>414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101</v>
      </c>
      <c r="B19" s="426" t="s">
        <v>415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102</v>
      </c>
      <c r="B20" s="426" t="s">
        <v>248</v>
      </c>
      <c r="C20" s="299">
        <f>'9.1.1. sz. mell ÖNK'!C20+'9.1.2. sz. mell ÖNK'!C20+'9.1.3. sz. mell ÖNK'!C20</f>
        <v>194027327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299">
        <f>'9.1.1. sz. mell ÖNK'!C21+'9.1.2. sz. mell ÖNK'!C21+'9.1.3. sz. mell ÖNK'!C21</f>
        <v>0</v>
      </c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17511265</v>
      </c>
    </row>
    <row r="23" spans="1:3" s="99" customFormat="1" ht="12" customHeight="1" x14ac:dyDescent="0.2">
      <c r="A23" s="444" t="s">
        <v>81</v>
      </c>
      <c r="B23" s="425" t="s">
        <v>251</v>
      </c>
      <c r="C23" s="299">
        <f>'9.1.1. sz. mell ÖNK'!C23+'9.1.2. sz. mell ÖNK'!C23+'9.1.3. sz. mell ÖNK'!C23</f>
        <v>0</v>
      </c>
    </row>
    <row r="24" spans="1:3" s="98" customFormat="1" ht="12" customHeight="1" x14ac:dyDescent="0.2">
      <c r="A24" s="445" t="s">
        <v>82</v>
      </c>
      <c r="B24" s="426" t="s">
        <v>252</v>
      </c>
      <c r="C24" s="299">
        <f>'9.1.1. sz. mell ÖNK'!C24+'9.1.2. sz. mell ÖNK'!C24+'9.1.3. sz. mell ÖNK'!C24</f>
        <v>0</v>
      </c>
    </row>
    <row r="25" spans="1:3" s="99" customFormat="1" ht="12" customHeight="1" x14ac:dyDescent="0.2">
      <c r="A25" s="445" t="s">
        <v>83</v>
      </c>
      <c r="B25" s="426" t="s">
        <v>416</v>
      </c>
      <c r="C25" s="299">
        <f>'9.1.1. sz. mell ÖNK'!C25+'9.1.2. sz. mell ÖNK'!C25+'9.1.3. sz. mell ÖNK'!C25</f>
        <v>0</v>
      </c>
    </row>
    <row r="26" spans="1:3" s="99" customFormat="1" ht="12" customHeight="1" x14ac:dyDescent="0.2">
      <c r="A26" s="445" t="s">
        <v>84</v>
      </c>
      <c r="B26" s="426" t="s">
        <v>417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160</v>
      </c>
      <c r="B27" s="426" t="s">
        <v>253</v>
      </c>
      <c r="C27" s="299">
        <f>'9.1.1. sz. mell ÖNK'!C27+'9.1.2. sz. mell ÖNK'!C27+'9.1.3. sz. mell ÖNK'!C27</f>
        <v>17511265</v>
      </c>
    </row>
    <row r="28" spans="1:3" s="99" customFormat="1" ht="12" customHeight="1" thickBot="1" x14ac:dyDescent="0.25">
      <c r="A28" s="446" t="s">
        <v>161</v>
      </c>
      <c r="B28" s="427" t="s">
        <v>254</v>
      </c>
      <c r="C28" s="299">
        <f>'9.1.1. sz. mell ÖNK'!C28+'9.1.2. sz. mell ÖNK'!C28+'9.1.3. sz. mell ÖNK'!C28</f>
        <v>0</v>
      </c>
    </row>
    <row r="29" spans="1:3" s="99" customFormat="1" ht="12" customHeight="1" thickBot="1" x14ac:dyDescent="0.25">
      <c r="A29" s="33" t="s">
        <v>162</v>
      </c>
      <c r="B29" s="21" t="s">
        <v>548</v>
      </c>
      <c r="C29" s="302">
        <f>+C30+C35+C36+C37+C33+C34+C31+C32</f>
        <v>123525000</v>
      </c>
    </row>
    <row r="30" spans="1:3" s="99" customFormat="1" ht="12" customHeight="1" x14ac:dyDescent="0.2">
      <c r="A30" s="444" t="s">
        <v>256</v>
      </c>
      <c r="B30" s="425" t="s">
        <v>543</v>
      </c>
      <c r="C30" s="420">
        <f>'9.1.1. sz. mell ÖNK'!C30+'9.1.2. sz. mell ÖNK'!C30+'9.1.3. sz. mell ÖNK'!C30</f>
        <v>0</v>
      </c>
    </row>
    <row r="31" spans="1:3" s="99" customFormat="1" ht="12" customHeight="1" x14ac:dyDescent="0.2">
      <c r="A31" s="445" t="s">
        <v>257</v>
      </c>
      <c r="B31" s="426" t="s">
        <v>544</v>
      </c>
      <c r="C31" s="420">
        <f>'9.1.1. sz. mell ÖNK'!C31+'9.1.2. sz. mell ÖNK'!C31+'9.1.3. sz. mell ÖNK'!C31</f>
        <v>15000</v>
      </c>
    </row>
    <row r="32" spans="1:3" s="99" customFormat="1" ht="12" customHeight="1" x14ac:dyDescent="0.2">
      <c r="A32" s="445" t="s">
        <v>258</v>
      </c>
      <c r="B32" s="426" t="s">
        <v>628</v>
      </c>
      <c r="C32" s="420">
        <f>'9.1.1. sz. mell ÖNK'!C32+'9.1.2. sz. mell ÖNK'!C31+'9.1.3. sz. mell ÖNK'!C31</f>
        <v>17100000</v>
      </c>
    </row>
    <row r="33" spans="1:3" s="99" customFormat="1" ht="12" customHeight="1" x14ac:dyDescent="0.2">
      <c r="A33" s="445" t="s">
        <v>259</v>
      </c>
      <c r="B33" s="426" t="s">
        <v>545</v>
      </c>
      <c r="C33" s="420">
        <f>'9.1.1. sz. mell ÖNK'!C33+'9.1.2. sz. mell ÖNK'!C33+'9.1.3. sz. mell ÖNK'!C33</f>
        <v>90000000</v>
      </c>
    </row>
    <row r="34" spans="1:3" s="99" customFormat="1" ht="12" customHeight="1" x14ac:dyDescent="0.2">
      <c r="A34" s="445" t="s">
        <v>540</v>
      </c>
      <c r="B34" s="426" t="s">
        <v>546</v>
      </c>
      <c r="C34" s="420">
        <f>'9.1.1. sz. mell ÖNK'!C34+'9.1.2. sz. mell ÖNK'!C34+'9.1.3. sz. mell ÖNK'!C34</f>
        <v>10000</v>
      </c>
    </row>
    <row r="35" spans="1:3" s="99" customFormat="1" ht="12" customHeight="1" x14ac:dyDescent="0.2">
      <c r="A35" s="445" t="s">
        <v>541</v>
      </c>
      <c r="B35" s="426" t="s">
        <v>260</v>
      </c>
      <c r="C35" s="420">
        <f>'9.1.1. sz. mell ÖNK'!C35+'9.1.2. sz. mell ÖNK'!C35+'9.1.3. sz. mell ÖNK'!C35</f>
        <v>15000000</v>
      </c>
    </row>
    <row r="36" spans="1:3" s="99" customFormat="1" ht="12" customHeight="1" x14ac:dyDescent="0.2">
      <c r="A36" s="446" t="s">
        <v>542</v>
      </c>
      <c r="B36" s="426" t="s">
        <v>261</v>
      </c>
      <c r="C36" s="420">
        <f>'9.1.1. sz. mell ÖNK'!C36+'9.1.2. sz. mell ÖNK'!C36+'9.1.3. sz. mell ÖNK'!C36</f>
        <v>0</v>
      </c>
    </row>
    <row r="37" spans="1:3" s="99" customFormat="1" ht="12" customHeight="1" thickBot="1" x14ac:dyDescent="0.25">
      <c r="A37" s="446" t="s">
        <v>629</v>
      </c>
      <c r="B37" s="522" t="s">
        <v>262</v>
      </c>
      <c r="C37" s="420">
        <f>'9.1.1. sz. mell ÖNK'!C37+'9.1.2. sz. mell ÖNK'!C37+'9.1.3. sz. mell ÖNK'!C37</f>
        <v>1400000</v>
      </c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</row>
    <row r="39" spans="1:3" s="99" customFormat="1" ht="12" customHeight="1" x14ac:dyDescent="0.2">
      <c r="A39" s="444" t="s">
        <v>85</v>
      </c>
      <c r="B39" s="425" t="s">
        <v>265</v>
      </c>
      <c r="C39" s="299">
        <f>'9.1.1. sz. mell ÖNK'!C39+'9.1.2. sz. mell ÖNK'!C39+'9.1.3. sz. mell ÖNK'!C39</f>
        <v>1332941</v>
      </c>
    </row>
    <row r="40" spans="1:3" s="99" customFormat="1" ht="12" customHeight="1" x14ac:dyDescent="0.2">
      <c r="A40" s="445" t="s">
        <v>86</v>
      </c>
      <c r="B40" s="426" t="s">
        <v>266</v>
      </c>
      <c r="C40" s="299">
        <f>'9.1.1. sz. mell ÖNK'!C40+'9.1.2. sz. mell ÖNK'!C40+'9.1.3. sz. mell ÖNK'!C40</f>
        <v>8300000</v>
      </c>
    </row>
    <row r="41" spans="1:3" s="99" customFormat="1" ht="12" customHeight="1" x14ac:dyDescent="0.2">
      <c r="A41" s="445" t="s">
        <v>87</v>
      </c>
      <c r="B41" s="426" t="s">
        <v>267</v>
      </c>
      <c r="C41" s="299">
        <f>'9.1.1. sz. mell ÖNK'!C41+'9.1.2. sz. mell ÖNK'!C41+'9.1.3. sz. mell ÖNK'!C41</f>
        <v>2800000</v>
      </c>
    </row>
    <row r="42" spans="1:3" s="99" customFormat="1" ht="12" customHeight="1" x14ac:dyDescent="0.2">
      <c r="A42" s="445" t="s">
        <v>164</v>
      </c>
      <c r="B42" s="426" t="s">
        <v>268</v>
      </c>
      <c r="C42" s="299">
        <f>'9.1.1. sz. mell ÖNK'!C42+'9.1.2. sz. mell ÖNK'!C42+'9.1.3. sz. mell ÖNK'!C42</f>
        <v>0</v>
      </c>
    </row>
    <row r="43" spans="1:3" s="99" customFormat="1" ht="12" customHeight="1" x14ac:dyDescent="0.2">
      <c r="A43" s="445" t="s">
        <v>165</v>
      </c>
      <c r="B43" s="426" t="s">
        <v>269</v>
      </c>
      <c r="C43" s="299">
        <f>'9.1.1. sz. mell ÖNK'!C43+'9.1.2. sz. mell ÖNK'!C43+'9.1.3. sz. mell ÖNK'!C43</f>
        <v>0</v>
      </c>
    </row>
    <row r="44" spans="1:3" s="99" customFormat="1" ht="12" customHeight="1" x14ac:dyDescent="0.2">
      <c r="A44" s="445" t="s">
        <v>166</v>
      </c>
      <c r="B44" s="426" t="s">
        <v>270</v>
      </c>
      <c r="C44" s="299">
        <f>'9.1.1. sz. mell ÖNK'!C44+'9.1.2. sz. mell ÖNK'!C44+'9.1.3. sz. mell ÖNK'!C44</f>
        <v>1527012</v>
      </c>
    </row>
    <row r="45" spans="1:3" s="99" customFormat="1" ht="12" customHeight="1" x14ac:dyDescent="0.2">
      <c r="A45" s="445" t="s">
        <v>167</v>
      </c>
      <c r="B45" s="426" t="s">
        <v>271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168</v>
      </c>
      <c r="B46" s="426" t="s">
        <v>547</v>
      </c>
      <c r="C46" s="299">
        <f>'9.1.1. sz. mell ÖNK'!C46+'9.1.2. sz. mell ÖNK'!C46+'9.1.3. sz. mell ÖNK'!C46</f>
        <v>0</v>
      </c>
    </row>
    <row r="47" spans="1:3" s="99" customFormat="1" ht="12" customHeight="1" x14ac:dyDescent="0.2">
      <c r="A47" s="445" t="s">
        <v>263</v>
      </c>
      <c r="B47" s="426" t="s">
        <v>273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6" t="s">
        <v>264</v>
      </c>
      <c r="B48" s="427" t="s">
        <v>428</v>
      </c>
      <c r="C48" s="299">
        <f>'9.1.1. sz. mell ÖNK'!C48+'9.1.2. sz. mell ÖNK'!C48+'9.1.3. sz. mell ÖNK'!C48</f>
        <v>0</v>
      </c>
    </row>
    <row r="49" spans="1:3" s="99" customFormat="1" ht="12" customHeight="1" thickBot="1" x14ac:dyDescent="0.25">
      <c r="A49" s="446" t="s">
        <v>427</v>
      </c>
      <c r="B49" s="427" t="s">
        <v>274</v>
      </c>
      <c r="C49" s="299">
        <f>'9.1.1. sz. mell ÖNK'!C49+'9.1.2. sz. mell ÖNK'!C49+'9.1.3. sz. mell ÖNK'!C49</f>
        <v>0</v>
      </c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</row>
    <row r="51" spans="1:3" s="99" customFormat="1" ht="12" customHeight="1" x14ac:dyDescent="0.2">
      <c r="A51" s="444" t="s">
        <v>88</v>
      </c>
      <c r="B51" s="425" t="s">
        <v>279</v>
      </c>
      <c r="C51" s="470">
        <f>'9.1.1. sz. mell ÖNK'!C51+'9.1.2. sz. mell ÖNK'!C51+'9.1.3. sz. mell ÖNK'!C51</f>
        <v>0</v>
      </c>
    </row>
    <row r="52" spans="1:3" s="99" customFormat="1" ht="12" customHeight="1" x14ac:dyDescent="0.2">
      <c r="A52" s="445" t="s">
        <v>89</v>
      </c>
      <c r="B52" s="426" t="s">
        <v>280</v>
      </c>
      <c r="C52" s="470">
        <f>'9.1.1. sz. mell ÖNK'!C52+'9.1.2. sz. mell ÖNK'!C52+'9.1.3. sz. mell ÖNK'!C52</f>
        <v>55760240</v>
      </c>
    </row>
    <row r="53" spans="1:3" s="99" customFormat="1" ht="12" customHeight="1" x14ac:dyDescent="0.2">
      <c r="A53" s="445" t="s">
        <v>276</v>
      </c>
      <c r="B53" s="426" t="s">
        <v>281</v>
      </c>
      <c r="C53" s="470">
        <f>'9.1.1. sz. mell ÖNK'!C53+'9.1.2. sz. mell ÖNK'!C53+'9.1.3. sz. mell ÖNK'!C53</f>
        <v>1780000</v>
      </c>
    </row>
    <row r="54" spans="1:3" s="99" customFormat="1" ht="12" customHeight="1" x14ac:dyDescent="0.2">
      <c r="A54" s="445" t="s">
        <v>277</v>
      </c>
      <c r="B54" s="426" t="s">
        <v>282</v>
      </c>
      <c r="C54" s="470">
        <f>'9.1.1. sz. mell ÖNK'!C54+'9.1.2. sz. mell ÖNK'!C54+'9.1.3. sz. mell ÖNK'!C54</f>
        <v>0</v>
      </c>
    </row>
    <row r="55" spans="1:3" s="99" customFormat="1" ht="12" customHeight="1" thickBot="1" x14ac:dyDescent="0.25">
      <c r="A55" s="446" t="s">
        <v>278</v>
      </c>
      <c r="B55" s="427" t="s">
        <v>283</v>
      </c>
      <c r="C55" s="470">
        <f>'9.1.1. sz. mell ÖNK'!C55+'9.1.2. sz. mell ÖNK'!C55+'9.1.3. sz. mell ÖNK'!C55</f>
        <v>0</v>
      </c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>
        <f>'9.1.1. sz. mell ÖNK'!C57+'9.1.2. sz. mell ÖNK'!C57+'9.1.3. sz. mell ÖNK'!C57</f>
        <v>0</v>
      </c>
    </row>
    <row r="58" spans="1:3" s="99" customFormat="1" ht="12" customHeight="1" x14ac:dyDescent="0.2">
      <c r="A58" s="445" t="s">
        <v>91</v>
      </c>
      <c r="B58" s="426" t="s">
        <v>418</v>
      </c>
      <c r="C58" s="299">
        <f>'9.1.1. sz. mell ÖNK'!C58+'9.1.2. sz. mell ÖNK'!C58+'9.1.3. sz. mell ÖNK'!C58</f>
        <v>0</v>
      </c>
    </row>
    <row r="59" spans="1:3" s="99" customFormat="1" ht="12" customHeight="1" x14ac:dyDescent="0.2">
      <c r="A59" s="445" t="s">
        <v>288</v>
      </c>
      <c r="B59" s="426" t="s">
        <v>286</v>
      </c>
      <c r="C59" s="299">
        <f>'9.1.1. sz. mell ÖNK'!C59+'9.1.2. sz. mell ÖNK'!C59+'9.1.3. sz. mell ÖNK'!C59</f>
        <v>0</v>
      </c>
    </row>
    <row r="60" spans="1:3" s="99" customFormat="1" ht="12" customHeight="1" thickBot="1" x14ac:dyDescent="0.25">
      <c r="A60" s="446" t="s">
        <v>289</v>
      </c>
      <c r="B60" s="427" t="s">
        <v>287</v>
      </c>
      <c r="C60" s="299">
        <f>'9.1.1. sz. mell ÖNK'!C60+'9.1.2. sz. mell ÖNK'!C60+'9.1.3. sz. mell ÖNK'!C60</f>
        <v>0</v>
      </c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3" s="99" customFormat="1" ht="12" customHeight="1" x14ac:dyDescent="0.2">
      <c r="A62" s="444" t="s">
        <v>170</v>
      </c>
      <c r="B62" s="425" t="s">
        <v>292</v>
      </c>
      <c r="C62" s="301">
        <f>'9.1.1. sz. mell ÖNK'!C62+'9.1.2. sz. mell ÖNK'!C62+'9.1.3. sz. mell ÖNK'!C62</f>
        <v>0</v>
      </c>
    </row>
    <row r="63" spans="1:3" s="99" customFormat="1" ht="12" customHeight="1" x14ac:dyDescent="0.2">
      <c r="A63" s="445" t="s">
        <v>171</v>
      </c>
      <c r="B63" s="426" t="s">
        <v>419</v>
      </c>
      <c r="C63" s="301">
        <f>'9.1.1. sz. mell ÖNK'!C63+'9.1.2. sz. mell ÖNK'!C63+'9.1.3. sz. mell ÖNK'!C63</f>
        <v>410000</v>
      </c>
    </row>
    <row r="64" spans="1:3" s="99" customFormat="1" ht="12" customHeight="1" x14ac:dyDescent="0.2">
      <c r="A64" s="445" t="s">
        <v>216</v>
      </c>
      <c r="B64" s="426" t="s">
        <v>293</v>
      </c>
      <c r="C64" s="301">
        <f>'9.1.1. sz. mell ÖNK'!C64+'9.1.2. sz. mell ÖNK'!C64+'9.1.3. sz. mell ÖNK'!C64</f>
        <v>0</v>
      </c>
    </row>
    <row r="65" spans="1:3" s="99" customFormat="1" ht="12" customHeight="1" thickBot="1" x14ac:dyDescent="0.25">
      <c r="A65" s="446" t="s">
        <v>291</v>
      </c>
      <c r="B65" s="427" t="s">
        <v>294</v>
      </c>
      <c r="C65" s="301">
        <f>'9.1.1. sz. mell ÖNK'!C65+'9.1.2. sz. mell ÖNK'!C65+'9.1.3. sz. mell ÖNK'!C65</f>
        <v>0</v>
      </c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920352672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>
        <f>'9.1.1. sz. mell ÖNK'!C68+'9.1.2. sz. mell ÖNK'!C68+'9.1.3. sz. mell ÖNK'!C68</f>
        <v>0</v>
      </c>
    </row>
    <row r="69" spans="1:3" s="99" customFormat="1" ht="12" customHeight="1" x14ac:dyDescent="0.2">
      <c r="A69" s="445" t="s">
        <v>337</v>
      </c>
      <c r="B69" s="426" t="s">
        <v>299</v>
      </c>
      <c r="C69" s="301">
        <f>'9.1.1. sz. mell ÖNK'!C69+'9.1.2. sz. mell ÖNK'!C69+'9.1.3. sz. mell ÖNK'!C69</f>
        <v>0</v>
      </c>
    </row>
    <row r="70" spans="1:3" s="99" customFormat="1" ht="12" customHeight="1" thickBot="1" x14ac:dyDescent="0.25">
      <c r="A70" s="446" t="s">
        <v>338</v>
      </c>
      <c r="B70" s="428" t="s">
        <v>300</v>
      </c>
      <c r="C70" s="301">
        <f>'9.1.1. sz. mell ÖNK'!C70+'9.1.2. sz. mell ÖNK'!C70+'9.1.3. sz. mell ÖNK'!C70</f>
        <v>0</v>
      </c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>
        <f>'9.1.1. sz. mell ÖNK'!C72+'9.1.2. sz. mell ÖNK'!C72+'9.1.3. sz. mell ÖNK'!C72</f>
        <v>0</v>
      </c>
    </row>
    <row r="73" spans="1:3" s="99" customFormat="1" ht="12" customHeight="1" x14ac:dyDescent="0.2">
      <c r="A73" s="445" t="s">
        <v>143</v>
      </c>
      <c r="B73" s="426" t="s">
        <v>304</v>
      </c>
      <c r="C73" s="301">
        <f>'9.1.1. sz. mell ÖNK'!C73+'9.1.2. sz. mell ÖNK'!C73+'9.1.3. sz. mell ÖNK'!C73</f>
        <v>0</v>
      </c>
    </row>
    <row r="74" spans="1:3" s="99" customFormat="1" ht="12" customHeight="1" x14ac:dyDescent="0.2">
      <c r="A74" s="445" t="s">
        <v>329</v>
      </c>
      <c r="B74" s="426" t="s">
        <v>305</v>
      </c>
      <c r="C74" s="301">
        <f>'9.1.1. sz. mell ÖNK'!C74+'9.1.2. sz. mell ÖNK'!C74+'9.1.3. sz. mell ÖNK'!C74</f>
        <v>0</v>
      </c>
    </row>
    <row r="75" spans="1:3" s="99" customFormat="1" ht="12" customHeight="1" thickBot="1" x14ac:dyDescent="0.25">
      <c r="A75" s="446" t="s">
        <v>330</v>
      </c>
      <c r="B75" s="427" t="s">
        <v>306</v>
      </c>
      <c r="C75" s="301">
        <f>'9.1.1. sz. mell ÖNK'!C75+'9.1.2. sz. mell ÖNK'!C75+'9.1.3. sz. mell ÖNK'!C75</f>
        <v>0</v>
      </c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950101937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'9.1.1. sz. mell ÖNK'!C77+'9.1.2. sz. mell ÖNK'!C77+'9.1.3. sz. mell ÖNK'!C77</f>
        <v>950101937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>
        <f>'9.1.1. sz. mell ÖNK'!C78+'9.1.2. sz. mell ÖNK'!C78+'9.1.3. sz. mell ÖNK'!C78</f>
        <v>0</v>
      </c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>
        <f>'9.1.1. sz. mell ÖNK'!C80+'9.1.2. sz. mell ÖNK'!C80+'9.1.3. sz. mell ÖNK'!C80</f>
        <v>0</v>
      </c>
    </row>
    <row r="81" spans="1:3" s="99" customFormat="1" ht="12" customHeight="1" x14ac:dyDescent="0.2">
      <c r="A81" s="445" t="s">
        <v>334</v>
      </c>
      <c r="B81" s="426" t="s">
        <v>314</v>
      </c>
      <c r="C81" s="301">
        <f>'9.1.1. sz. mell ÖNK'!C81+'9.1.2. sz. mell ÖNK'!C81+'9.1.3. sz. mell ÖNK'!C81</f>
        <v>0</v>
      </c>
    </row>
    <row r="82" spans="1:3" s="99" customFormat="1" ht="12" customHeight="1" thickBot="1" x14ac:dyDescent="0.25">
      <c r="A82" s="446" t="s">
        <v>335</v>
      </c>
      <c r="B82" s="427" t="s">
        <v>315</v>
      </c>
      <c r="C82" s="301">
        <f>'9.1.1. sz. mell ÖNK'!C82+'9.1.2. sz. mell ÖNK'!C82+'9.1.3. sz. mell ÖNK'!C82</f>
        <v>0</v>
      </c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>
        <f>'9.1.1. sz. mell ÖNK'!C84+'9.1.2. sz. mell ÖNK'!C84+'9.1.3. sz. mell ÖNK'!C84</f>
        <v>0</v>
      </c>
    </row>
    <row r="85" spans="1:3" s="99" customFormat="1" ht="12" customHeight="1" x14ac:dyDescent="0.2">
      <c r="A85" s="449" t="s">
        <v>319</v>
      </c>
      <c r="B85" s="426" t="s">
        <v>320</v>
      </c>
      <c r="C85" s="301">
        <f>'9.1.1. sz. mell ÖNK'!C85+'9.1.2. sz. mell ÖNK'!C85+'9.1.3. sz. mell ÖNK'!C85</f>
        <v>0</v>
      </c>
    </row>
    <row r="86" spans="1:3" s="99" customFormat="1" ht="12" customHeight="1" x14ac:dyDescent="0.2">
      <c r="A86" s="449" t="s">
        <v>321</v>
      </c>
      <c r="B86" s="426" t="s">
        <v>322</v>
      </c>
      <c r="C86" s="301">
        <f>'9.1.1. sz. mell ÖNK'!C86+'9.1.2. sz. mell ÖNK'!C86+'9.1.3. sz. mell ÖNK'!C86</f>
        <v>0</v>
      </c>
    </row>
    <row r="87" spans="1:3" s="98" customFormat="1" ht="12" customHeight="1" thickBot="1" x14ac:dyDescent="0.25">
      <c r="A87" s="450" t="s">
        <v>323</v>
      </c>
      <c r="B87" s="427" t="s">
        <v>324</v>
      </c>
      <c r="C87" s="301">
        <f>'9.1.1. sz. mell ÖNK'!C87+'9.1.2. sz. mell ÖNK'!C87+'9.1.3. sz. mell ÖNK'!C87</f>
        <v>0</v>
      </c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950101937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1870454609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797942524</v>
      </c>
    </row>
    <row r="95" spans="1:3" ht="12" customHeight="1" x14ac:dyDescent="0.2">
      <c r="A95" s="452" t="s">
        <v>92</v>
      </c>
      <c r="B95" s="10" t="s">
        <v>46</v>
      </c>
      <c r="C95" s="536">
        <f>'9.1.1. sz. mell ÖNK'!C95+'9.1.2. sz. mell ÖNK'!C95+'9.1.3. sz. mell ÖNK'!C95</f>
        <v>197920630</v>
      </c>
    </row>
    <row r="96" spans="1:3" ht="12" customHeight="1" x14ac:dyDescent="0.2">
      <c r="A96" s="445" t="s">
        <v>93</v>
      </c>
      <c r="B96" s="8" t="s">
        <v>172</v>
      </c>
      <c r="C96" s="298">
        <f>'9.1.1. sz. mell ÖNK'!C96+'9.1.2. sz. mell ÖNK'!C96+'9.1.3. sz. mell ÖNK'!C96</f>
        <v>24366420</v>
      </c>
    </row>
    <row r="97" spans="1:5" ht="12" customHeight="1" x14ac:dyDescent="0.2">
      <c r="A97" s="445" t="s">
        <v>94</v>
      </c>
      <c r="B97" s="8" t="s">
        <v>134</v>
      </c>
      <c r="C97" s="298">
        <f>'9.1.1. sz. mell ÖNK'!C97+'9.1.2. sz. mell ÖNK'!C97+'9.1.3. sz. mell ÖNK'!C97</f>
        <v>212069675</v>
      </c>
    </row>
    <row r="98" spans="1:5" ht="12" customHeight="1" x14ac:dyDescent="0.2">
      <c r="A98" s="445"/>
      <c r="B98" s="570" t="s">
        <v>611</v>
      </c>
      <c r="C98" s="537">
        <f>+'9.1.1. sz. mell ÖNK'!C98</f>
        <v>2200000</v>
      </c>
    </row>
    <row r="99" spans="1:5" ht="12" customHeight="1" x14ac:dyDescent="0.2">
      <c r="A99" s="445" t="s">
        <v>95</v>
      </c>
      <c r="B99" s="11" t="s">
        <v>173</v>
      </c>
      <c r="C99" s="298">
        <f>'9.1.1. sz. mell ÖNK'!C99+'9.1.2. sz. mell ÖNK'!C98+'9.1.3. sz. mell ÖNK'!C98</f>
        <v>46198000</v>
      </c>
    </row>
    <row r="100" spans="1:5" ht="12" customHeight="1" x14ac:dyDescent="0.2">
      <c r="A100" s="445" t="s">
        <v>106</v>
      </c>
      <c r="B100" s="19" t="s">
        <v>174</v>
      </c>
      <c r="C100" s="537">
        <f>'9.1.1. sz. mell ÖNK'!C100+'9.1.2. sz. mell ÖNK'!C99+'9.1.3. sz. mell ÖNK'!C99</f>
        <v>32633080</v>
      </c>
    </row>
    <row r="101" spans="1:5" ht="12" customHeight="1" x14ac:dyDescent="0.2">
      <c r="A101" s="445" t="s">
        <v>96</v>
      </c>
      <c r="B101" s="8" t="s">
        <v>498</v>
      </c>
      <c r="C101" s="298">
        <f>'9.1.1. sz. mell ÖNK'!C101+'9.1.2. sz. mell ÖNK'!C100+'9.1.3. sz. mell ÖNK'!C100</f>
        <v>1786000</v>
      </c>
    </row>
    <row r="102" spans="1:5" ht="12" customHeight="1" x14ac:dyDescent="0.2">
      <c r="A102" s="445" t="s">
        <v>97</v>
      </c>
      <c r="B102" s="149" t="s">
        <v>433</v>
      </c>
      <c r="C102" s="537">
        <f>'9.1.1. sz. mell ÖNK'!C102+'9.1.2. sz. mell ÖNK'!C101+'9.1.3. sz. mell ÖNK'!C101</f>
        <v>0</v>
      </c>
    </row>
    <row r="103" spans="1:5" ht="12" customHeight="1" x14ac:dyDescent="0.2">
      <c r="A103" s="445" t="s">
        <v>107</v>
      </c>
      <c r="B103" s="149" t="s">
        <v>432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108</v>
      </c>
      <c r="B104" s="149" t="s">
        <v>342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109</v>
      </c>
      <c r="B105" s="150" t="s">
        <v>343</v>
      </c>
      <c r="C105" s="298">
        <f>'9.1.1. sz. mell ÖNK'!C105+'9.1.2. sz. mell ÖNK'!C104+'9.1.3. sz. mell ÖNK'!C104</f>
        <v>0</v>
      </c>
    </row>
    <row r="106" spans="1:5" ht="12" customHeight="1" x14ac:dyDescent="0.2">
      <c r="A106" s="445" t="s">
        <v>110</v>
      </c>
      <c r="B106" s="150" t="s">
        <v>344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112</v>
      </c>
      <c r="B107" s="149" t="s">
        <v>345</v>
      </c>
      <c r="C107" s="298">
        <f>'9.1.1. sz. mell ÖNK'!C107+'9.1.2. sz. mell ÖNK'!C106+'9.1.3. sz. mell ÖNK'!C106</f>
        <v>1600000</v>
      </c>
    </row>
    <row r="108" spans="1:5" ht="12" customHeight="1" x14ac:dyDescent="0.2">
      <c r="A108" s="445" t="s">
        <v>175</v>
      </c>
      <c r="B108" s="149" t="s">
        <v>346</v>
      </c>
      <c r="C108" s="298">
        <f>'9.1.1. sz. mell ÖNK'!C108+'9.1.2. sz. mell ÖNK'!C107+'9.1.3. sz. mell ÖNK'!C107</f>
        <v>0</v>
      </c>
    </row>
    <row r="109" spans="1:5" ht="12" customHeight="1" x14ac:dyDescent="0.2">
      <c r="A109" s="445" t="s">
        <v>340</v>
      </c>
      <c r="B109" s="150" t="s">
        <v>347</v>
      </c>
      <c r="C109" s="298">
        <f>'9.1.1. sz. mell ÖNK'!C109+'9.1.2. sz. mell ÖNK'!C108+'9.1.3. sz. mell ÖNK'!C108</f>
        <v>0</v>
      </c>
      <c r="E109" s="44">
        <f>C157-C91</f>
        <v>0</v>
      </c>
    </row>
    <row r="110" spans="1:5" ht="12" customHeight="1" x14ac:dyDescent="0.2">
      <c r="A110" s="453" t="s">
        <v>341</v>
      </c>
      <c r="B110" s="151" t="s">
        <v>348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430</v>
      </c>
      <c r="B111" s="151" t="s">
        <v>349</v>
      </c>
      <c r="C111" s="298">
        <f>'9.1.1. sz. mell ÖNK'!C111+'9.1.2. sz. mell ÖNK'!C110+'9.1.3. sz. mell ÖNK'!C110</f>
        <v>0</v>
      </c>
    </row>
    <row r="112" spans="1:5" ht="12" customHeight="1" x14ac:dyDescent="0.2">
      <c r="A112" s="445" t="s">
        <v>431</v>
      </c>
      <c r="B112" s="150" t="s">
        <v>350</v>
      </c>
      <c r="C112" s="298">
        <f>'9.1.1. sz. mell ÖNK'!C112+'9.1.2. sz. mell ÖNK'!C111+'9.1.3. sz. mell ÖNK'!C111</f>
        <v>29247080</v>
      </c>
    </row>
    <row r="113" spans="1:3" ht="12" customHeight="1" x14ac:dyDescent="0.2">
      <c r="A113" s="445" t="s">
        <v>435</v>
      </c>
      <c r="B113" s="11" t="s">
        <v>47</v>
      </c>
      <c r="C113" s="298">
        <f>'9.1.1. sz. mell ÖNK'!C113+'9.1.2. sz. mell ÖNK'!C112+'9.1.3. sz. mell ÖNK'!C112</f>
        <v>284754719</v>
      </c>
    </row>
    <row r="114" spans="1:3" ht="12" customHeight="1" x14ac:dyDescent="0.2">
      <c r="A114" s="446" t="s">
        <v>436</v>
      </c>
      <c r="B114" s="8" t="s">
        <v>499</v>
      </c>
      <c r="C114" s="298">
        <f>'9.1.1. sz. mell ÖNK'!C114+'9.1.2. sz. mell ÖNK'!C113+'9.1.3. sz. mell ÖNK'!C113</f>
        <v>0</v>
      </c>
    </row>
    <row r="115" spans="1:3" ht="12" customHeight="1" thickBot="1" x14ac:dyDescent="0.25">
      <c r="A115" s="454" t="s">
        <v>437</v>
      </c>
      <c r="B115" s="152" t="s">
        <v>500</v>
      </c>
      <c r="C115" s="299">
        <f>'9.1.1. sz. mell ÖNK'!C115+'9.1.2. sz. mell ÖNK'!C114+'9.1.3. sz. mell ÖNK'!C114</f>
        <v>284754719</v>
      </c>
    </row>
    <row r="116" spans="1:3" ht="12" customHeight="1" thickBot="1" x14ac:dyDescent="0.25">
      <c r="A116" s="33" t="s">
        <v>16</v>
      </c>
      <c r="B116" s="27" t="s">
        <v>351</v>
      </c>
      <c r="C116" s="296">
        <f>+C117+C119+C121</f>
        <v>565419203</v>
      </c>
    </row>
    <row r="117" spans="1:3" ht="12" customHeight="1" x14ac:dyDescent="0.2">
      <c r="A117" s="444" t="s">
        <v>98</v>
      </c>
      <c r="B117" s="8" t="s">
        <v>214</v>
      </c>
      <c r="C117" s="299">
        <f>'9.1.1. sz. mell ÖNK'!C117+'9.1.2. sz. mell ÖNK'!C116+'9.1.3. sz. mell ÖNK'!C95</f>
        <v>541118636</v>
      </c>
    </row>
    <row r="118" spans="1:3" ht="12" customHeight="1" x14ac:dyDescent="0.2">
      <c r="A118" s="444" t="s">
        <v>99</v>
      </c>
      <c r="B118" s="12" t="s">
        <v>355</v>
      </c>
      <c r="C118" s="299">
        <f>'9.1.1. sz. mell ÖNK'!C118+'9.1.2. sz. mell ÖNK'!C117+'9.1.3. sz. mell ÖNK'!C96</f>
        <v>0</v>
      </c>
    </row>
    <row r="119" spans="1:3" ht="12" customHeight="1" x14ac:dyDescent="0.2">
      <c r="A119" s="444" t="s">
        <v>100</v>
      </c>
      <c r="B119" s="12" t="s">
        <v>176</v>
      </c>
      <c r="C119" s="299">
        <f>'9.1.1. sz. mell ÖNK'!C119+'9.1.2. sz. mell ÖNK'!C118+'9.1.3. sz. mell ÖNK'!C97</f>
        <v>23000567</v>
      </c>
    </row>
    <row r="120" spans="1:3" ht="12" customHeight="1" x14ac:dyDescent="0.2">
      <c r="A120" s="444" t="s">
        <v>101</v>
      </c>
      <c r="B120" s="12" t="s">
        <v>356</v>
      </c>
      <c r="C120" s="299">
        <f>'9.1.1. sz. mell ÖNK'!C120+'9.1.2. sz. mell ÖNK'!C119+'9.1.3. sz. mell ÖNK'!C98</f>
        <v>0</v>
      </c>
    </row>
    <row r="121" spans="1:3" ht="12" customHeight="1" x14ac:dyDescent="0.2">
      <c r="A121" s="444" t="s">
        <v>102</v>
      </c>
      <c r="B121" s="293" t="s">
        <v>217</v>
      </c>
      <c r="C121" s="299">
        <f>'9.1.1. sz. mell ÖNK'!C121+'9.1.2. sz. mell ÖNK'!C120+'9.1.3. sz. mell ÖNK'!C99</f>
        <v>1300000</v>
      </c>
    </row>
    <row r="122" spans="1:3" ht="12" customHeight="1" x14ac:dyDescent="0.2">
      <c r="A122" s="444" t="s">
        <v>111</v>
      </c>
      <c r="B122" s="292" t="s">
        <v>420</v>
      </c>
      <c r="C122" s="299">
        <f>'9.1.1. sz. mell ÖNK'!C122+'9.1.2. sz. mell ÖNK'!C121+'9.1.3. sz. mell ÖNK'!C100</f>
        <v>0</v>
      </c>
    </row>
    <row r="123" spans="1:3" ht="12" customHeight="1" x14ac:dyDescent="0.2">
      <c r="A123" s="444" t="s">
        <v>113</v>
      </c>
      <c r="B123" s="421" t="s">
        <v>361</v>
      </c>
      <c r="C123" s="299">
        <f>'9.1.1. sz. mell ÖNK'!C123+'9.1.2. sz. mell ÖNK'!C122+'9.1.3. sz. mell ÖNK'!C101</f>
        <v>0</v>
      </c>
    </row>
    <row r="124" spans="1:3" ht="12" customHeight="1" x14ac:dyDescent="0.2">
      <c r="A124" s="444" t="s">
        <v>177</v>
      </c>
      <c r="B124" s="150" t="s">
        <v>344</v>
      </c>
      <c r="C124" s="299">
        <f>'9.1.1. sz. mell ÖNK'!C124+'9.1.2. sz. mell ÖNK'!C123+'9.1.3. sz. mell ÖNK'!C102</f>
        <v>0</v>
      </c>
    </row>
    <row r="125" spans="1:3" ht="12" customHeight="1" x14ac:dyDescent="0.2">
      <c r="A125" s="444" t="s">
        <v>178</v>
      </c>
      <c r="B125" s="150" t="s">
        <v>360</v>
      </c>
      <c r="C125" s="299">
        <f>'9.1.1. sz. mell ÖNK'!C125+'9.1.2. sz. mell ÖNK'!C124+'9.1.3. sz. mell ÖNK'!C103</f>
        <v>0</v>
      </c>
    </row>
    <row r="126" spans="1:3" ht="12" customHeight="1" x14ac:dyDescent="0.2">
      <c r="A126" s="444" t="s">
        <v>179</v>
      </c>
      <c r="B126" s="150" t="s">
        <v>359</v>
      </c>
      <c r="C126" s="299">
        <f>'9.1.1. sz. mell ÖNK'!C126+'9.1.2. sz. mell ÖNK'!C125+'9.1.3. sz. mell ÖNK'!C104</f>
        <v>0</v>
      </c>
    </row>
    <row r="127" spans="1:3" ht="12" customHeight="1" x14ac:dyDescent="0.2">
      <c r="A127" s="444" t="s">
        <v>352</v>
      </c>
      <c r="B127" s="150" t="s">
        <v>347</v>
      </c>
      <c r="C127" s="299">
        <f>'9.1.1. sz. mell ÖNK'!C127+'9.1.2. sz. mell ÖNK'!C126+'9.1.3. sz. mell ÖNK'!C105</f>
        <v>0</v>
      </c>
    </row>
    <row r="128" spans="1:3" ht="12" customHeight="1" x14ac:dyDescent="0.2">
      <c r="A128" s="444" t="s">
        <v>353</v>
      </c>
      <c r="B128" s="150" t="s">
        <v>358</v>
      </c>
      <c r="C128" s="299">
        <f>'9.1.1. sz. mell ÖNK'!C128+'9.1.2. sz. mell ÖNK'!C127+'9.1.3. sz. mell ÖNK'!C106</f>
        <v>0</v>
      </c>
    </row>
    <row r="129" spans="1:11" ht="12" customHeight="1" thickBot="1" x14ac:dyDescent="0.25">
      <c r="A129" s="453" t="s">
        <v>354</v>
      </c>
      <c r="B129" s="150" t="s">
        <v>357</v>
      </c>
      <c r="C129" s="299">
        <f>'9.1.1. sz. mell ÖNK'!C129+'9.1.2. sz. mell ÖNK'!C128+'9.1.3. sz. mell ÖNK'!C107</f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1363361727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5875000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f>'9.1.1. sz. mell ÖNK'!C132+'9.1.2. sz. mell ÖNK'!C131+'9.1.3. sz. mell ÖNK'!C131</f>
        <v>5875000</v>
      </c>
    </row>
    <row r="133" spans="1:11" ht="12" customHeight="1" x14ac:dyDescent="0.2">
      <c r="A133" s="444" t="s">
        <v>257</v>
      </c>
      <c r="B133" s="9" t="s">
        <v>449</v>
      </c>
      <c r="C133" s="279">
        <f>'9.1.1. sz. mell ÖNK'!C133+'9.1.2. sz. mell ÖNK'!C132+'9.1.3. sz. mell ÖNK'!C132</f>
        <v>0</v>
      </c>
    </row>
    <row r="134" spans="1:11" ht="12" customHeight="1" thickBot="1" x14ac:dyDescent="0.25">
      <c r="A134" s="453" t="s">
        <v>258</v>
      </c>
      <c r="B134" s="7" t="s">
        <v>503</v>
      </c>
      <c r="C134" s="279">
        <f>'9.1.1. sz. mell ÖNK'!C134+'9.1.2. sz. mell ÖNK'!C133+'9.1.3. sz. mell ÖNK'!C133</f>
        <v>0</v>
      </c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>
        <f>'9.1.1. sz. mell ÖNK'!C136+'9.1.2. sz. mell ÖNK'!C135+'9.1.3. sz. mell ÖNK'!C135</f>
        <v>0</v>
      </c>
    </row>
    <row r="137" spans="1:11" ht="12" customHeight="1" x14ac:dyDescent="0.2">
      <c r="A137" s="444" t="s">
        <v>86</v>
      </c>
      <c r="B137" s="9" t="s">
        <v>443</v>
      </c>
      <c r="C137" s="279">
        <f>'9.1.1. sz. mell ÖNK'!C137+'9.1.2. sz. mell ÖNK'!C136+'9.1.3. sz. mell ÖNK'!C136</f>
        <v>0</v>
      </c>
    </row>
    <row r="138" spans="1:11" ht="12" customHeight="1" x14ac:dyDescent="0.2">
      <c r="A138" s="444" t="s">
        <v>87</v>
      </c>
      <c r="B138" s="9" t="s">
        <v>444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164</v>
      </c>
      <c r="B139" s="9" t="s">
        <v>502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165</v>
      </c>
      <c r="B140" s="9" t="s">
        <v>446</v>
      </c>
      <c r="C140" s="279">
        <f>'9.1.1. sz. mell ÖNK'!C140+'9.1.2. sz. mell ÖNK'!C139+'9.1.3. sz. mell ÖNK'!C139</f>
        <v>0</v>
      </c>
    </row>
    <row r="141" spans="1:11" s="100" customFormat="1" ht="12" customHeight="1" thickBot="1" x14ac:dyDescent="0.25">
      <c r="A141" s="453" t="s">
        <v>166</v>
      </c>
      <c r="B141" s="7" t="s">
        <v>447</v>
      </c>
      <c r="C141" s="279">
        <f>'9.1.1. sz. mell ÖNK'!C141+'9.1.2. sz. mell ÖNK'!C140+'9.1.3. sz. mell ÖNK'!C140</f>
        <v>0</v>
      </c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501217882</v>
      </c>
      <c r="K142" s="261"/>
    </row>
    <row r="143" spans="1:11" x14ac:dyDescent="0.2">
      <c r="A143" s="444" t="s">
        <v>88</v>
      </c>
      <c r="B143" s="9" t="s">
        <v>362</v>
      </c>
      <c r="C143" s="279">
        <f>'9.1.1. sz. mell ÖNK'!C143+'9.1.2. sz. mell ÖNK'!C142+'9.1.3. sz. mell ÖNK'!C142</f>
        <v>0</v>
      </c>
    </row>
    <row r="144" spans="1:11" ht="12" customHeight="1" x14ac:dyDescent="0.2">
      <c r="A144" s="444" t="s">
        <v>89</v>
      </c>
      <c r="B144" s="9" t="s">
        <v>363</v>
      </c>
      <c r="C144" s="279">
        <f>'9.1.1. sz. mell ÖNK'!C144+'9.1.2. sz. mell ÖNK'!C143+'9.1.3. sz. mell ÖNK'!C143</f>
        <v>17448337</v>
      </c>
    </row>
    <row r="145" spans="1:3" ht="12" customHeight="1" x14ac:dyDescent="0.2">
      <c r="A145" s="444" t="s">
        <v>276</v>
      </c>
      <c r="B145" s="9" t="s">
        <v>528</v>
      </c>
      <c r="C145" s="279">
        <f>'9.1.1. sz. mell ÖNK'!C145+'9.1.2. sz. mell ÖNK'!C144+'9.1.3. sz. mell ÖNK'!C144</f>
        <v>482650535</v>
      </c>
    </row>
    <row r="146" spans="1:3" s="100" customFormat="1" ht="12" customHeight="1" x14ac:dyDescent="0.2">
      <c r="A146" s="444" t="s">
        <v>277</v>
      </c>
      <c r="B146" s="9" t="s">
        <v>456</v>
      </c>
      <c r="C146" s="279">
        <f>'9.1.1. sz. mell ÖNK'!C146+'9.1.2. sz. mell ÖNK'!C145+'9.1.3. sz. mell ÖNK'!C145</f>
        <v>0</v>
      </c>
    </row>
    <row r="147" spans="1:3" s="100" customFormat="1" ht="12" customHeight="1" thickBot="1" x14ac:dyDescent="0.25">
      <c r="A147" s="453" t="s">
        <v>278</v>
      </c>
      <c r="B147" s="7" t="s">
        <v>382</v>
      </c>
      <c r="C147" s="279">
        <f>'9.1.1. sz. mell ÖNK'!C147+'9.1.2. sz. mell ÖNK'!C146+'9.1.3. sz. mell ÖNK'!C146</f>
        <v>1119010</v>
      </c>
    </row>
    <row r="148" spans="1:3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3" s="100" customFormat="1" ht="12" customHeight="1" x14ac:dyDescent="0.2">
      <c r="A149" s="444" t="s">
        <v>90</v>
      </c>
      <c r="B149" s="9" t="s">
        <v>452</v>
      </c>
      <c r="C149" s="279">
        <f>'9.1.1. sz. mell ÖNK'!C149+'9.1.2. sz. mell ÖNK'!C148+'9.1.3. sz. mell ÖNK'!C148</f>
        <v>0</v>
      </c>
    </row>
    <row r="150" spans="1:3" s="100" customFormat="1" ht="12" customHeight="1" x14ac:dyDescent="0.2">
      <c r="A150" s="444" t="s">
        <v>91</v>
      </c>
      <c r="B150" s="9" t="s">
        <v>459</v>
      </c>
      <c r="C150" s="279">
        <f>'9.1.1. sz. mell ÖNK'!C150+'9.1.2. sz. mell ÖNK'!C149+'9.1.3. sz. mell ÖNK'!C149</f>
        <v>0</v>
      </c>
    </row>
    <row r="151" spans="1:3" s="100" customFormat="1" ht="12" customHeight="1" x14ac:dyDescent="0.2">
      <c r="A151" s="444" t="s">
        <v>288</v>
      </c>
      <c r="B151" s="9" t="s">
        <v>454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289</v>
      </c>
      <c r="B152" s="9" t="s">
        <v>505</v>
      </c>
      <c r="C152" s="279">
        <f>'9.1.1. sz. mell ÖNK'!C152+'9.1.2. sz. mell ÖNK'!C151+'9.1.3. sz. mell ÖNK'!C151</f>
        <v>0</v>
      </c>
    </row>
    <row r="153" spans="1:3" ht="12.75" customHeight="1" thickBot="1" x14ac:dyDescent="0.25">
      <c r="A153" s="453" t="s">
        <v>458</v>
      </c>
      <c r="B153" s="7" t="s">
        <v>461</v>
      </c>
      <c r="C153" s="281">
        <f>'9.1.1. sz. mell ÖNK'!C153+'9.1.2. sz. mell ÖNK'!C152+'9.1.3. sz. mell ÖNK'!C152</f>
        <v>0</v>
      </c>
    </row>
    <row r="154" spans="1:3" ht="12.75" customHeight="1" thickBot="1" x14ac:dyDescent="0.25">
      <c r="A154" s="497" t="s">
        <v>22</v>
      </c>
      <c r="B154" s="132" t="s">
        <v>462</v>
      </c>
      <c r="C154" s="539">
        <f>'9.1.1. sz. mell ÖNK'!C154+'9.1.2. sz. mell ÖNK'!C153+'9.1.3. sz. mell ÖNK'!C153</f>
        <v>0</v>
      </c>
    </row>
    <row r="155" spans="1:3" ht="12.75" customHeight="1" thickBot="1" x14ac:dyDescent="0.25">
      <c r="A155" s="538" t="s">
        <v>23</v>
      </c>
      <c r="B155" s="533" t="s">
        <v>463</v>
      </c>
      <c r="C155" s="280">
        <f>'9.1.1. sz. mell ÖNK'!C155+'9.1.2. sz. mell ÖNK'!C154+'9.1.3. sz. mell ÖNK'!C154</f>
        <v>0</v>
      </c>
    </row>
    <row r="156" spans="1:3" ht="12" customHeight="1" thickBot="1" x14ac:dyDescent="0.25">
      <c r="A156" s="33" t="s">
        <v>24</v>
      </c>
      <c r="B156" s="132" t="s">
        <v>465</v>
      </c>
      <c r="C156" s="435">
        <f>+C131+C135+C142+C148+C154+C155</f>
        <v>507092882</v>
      </c>
    </row>
    <row r="157" spans="1:3" ht="15" customHeight="1" thickBot="1" x14ac:dyDescent="0.25">
      <c r="A157" s="455" t="s">
        <v>25</v>
      </c>
      <c r="B157" s="387" t="s">
        <v>464</v>
      </c>
      <c r="C157" s="435">
        <f>+C130+C156</f>
        <v>1870454609</v>
      </c>
    </row>
    <row r="158" spans="1:3" ht="13.5" thickBot="1" x14ac:dyDescent="0.25">
      <c r="A158" s="395"/>
      <c r="B158" s="396"/>
      <c r="C158" s="397"/>
    </row>
    <row r="159" spans="1:3" ht="15" customHeight="1" thickBot="1" x14ac:dyDescent="0.25">
      <c r="A159" s="258" t="s">
        <v>506</v>
      </c>
      <c r="B159" s="259"/>
      <c r="C159" s="129">
        <f>'9.1.1. sz. mell ÖNK'!C159+'9.1.2. sz. mell ÖNK'!C158+'9.1.3. sz. mell ÖNK'!C158</f>
        <v>0</v>
      </c>
    </row>
    <row r="160" spans="1:3" ht="14.25" customHeight="1" thickBot="1" x14ac:dyDescent="0.25">
      <c r="A160" s="258" t="s">
        <v>195</v>
      </c>
      <c r="B160" s="259"/>
      <c r="C160" s="129">
        <f>'9.1.1. sz. mell ÖNK'!C160+'9.1.2. sz. mell ÖNK'!C159+'9.1.3. sz. mell ÖNK'!C159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zoomScaleNormal="100" zoomScaleSheetLayoutView="130" workbookViewId="0">
      <selection activeCell="C8" sqref="C8:C157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…./2019. (……..)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513378887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205364731+3766000</f>
        <v>209130731</v>
      </c>
    </row>
    <row r="10" spans="1:5" s="99" customFormat="1" ht="12" customHeight="1" x14ac:dyDescent="0.2">
      <c r="A10" s="445" t="s">
        <v>93</v>
      </c>
      <c r="B10" s="426" t="s">
        <v>242</v>
      </c>
      <c r="C10" s="298">
        <f>67194367+1170000+3262033</f>
        <v>71626400</v>
      </c>
    </row>
    <row r="11" spans="1:5" s="99" customFormat="1" ht="12" customHeight="1" x14ac:dyDescent="0.2">
      <c r="A11" s="445" t="s">
        <v>94</v>
      </c>
      <c r="B11" s="426" t="s">
        <v>538</v>
      </c>
      <c r="C11" s="298">
        <f>179020908-5700+4462000+14031373</f>
        <v>197508581</v>
      </c>
    </row>
    <row r="12" spans="1:5" s="99" customFormat="1" ht="12" customHeight="1" x14ac:dyDescent="0.2">
      <c r="A12" s="445" t="s">
        <v>95</v>
      </c>
      <c r="B12" s="426" t="s">
        <v>244</v>
      </c>
      <c r="C12" s="298">
        <f>8433700+286000+586000+1552395</f>
        <v>10858095</v>
      </c>
      <c r="E12" s="569">
        <f>SUM(E13:E15)+E17</f>
        <v>3956400</v>
      </c>
    </row>
    <row r="13" spans="1:5" s="99" customFormat="1" ht="12" customHeight="1" x14ac:dyDescent="0.2">
      <c r="A13" s="445" t="s">
        <v>141</v>
      </c>
      <c r="B13" s="426" t="s">
        <v>493</v>
      </c>
      <c r="C13" s="298">
        <f>19008000+15583768-15583768+5247080</f>
        <v>24255080</v>
      </c>
      <c r="D13" s="544" t="s">
        <v>568</v>
      </c>
      <c r="E13" s="543">
        <v>3360000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8"/>
      <c r="D14" s="544" t="s">
        <v>569</v>
      </c>
      <c r="E14" s="543"/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187782215</v>
      </c>
      <c r="D15" s="544" t="s">
        <v>570</v>
      </c>
      <c r="E15" s="543"/>
    </row>
    <row r="16" spans="1:5" s="98" customFormat="1" ht="12" customHeight="1" x14ac:dyDescent="0.2">
      <c r="A16" s="444" t="s">
        <v>98</v>
      </c>
      <c r="B16" s="425" t="s">
        <v>246</v>
      </c>
      <c r="C16" s="299"/>
      <c r="D16" s="544" t="s">
        <v>627</v>
      </c>
      <c r="E16" s="543"/>
    </row>
    <row r="17" spans="1:6" s="98" customFormat="1" ht="12" customHeight="1" x14ac:dyDescent="0.2">
      <c r="A17" s="445" t="s">
        <v>99</v>
      </c>
      <c r="B17" s="426" t="s">
        <v>247</v>
      </c>
      <c r="C17" s="298"/>
      <c r="D17" s="99" t="s">
        <v>571</v>
      </c>
      <c r="E17" s="543">
        <v>596400</v>
      </c>
    </row>
    <row r="18" spans="1:6" s="98" customFormat="1" ht="12" customHeight="1" x14ac:dyDescent="0.2">
      <c r="A18" s="445" t="s">
        <v>100</v>
      </c>
      <c r="B18" s="426" t="s">
        <v>414</v>
      </c>
      <c r="C18" s="298"/>
      <c r="E18" s="543"/>
    </row>
    <row r="19" spans="1:6" s="98" customFormat="1" ht="12" customHeight="1" x14ac:dyDescent="0.2">
      <c r="A19" s="445" t="s">
        <v>101</v>
      </c>
      <c r="B19" s="426" t="s">
        <v>415</v>
      </c>
      <c r="C19" s="298"/>
      <c r="E19" s="545"/>
    </row>
    <row r="20" spans="1:6" s="98" customFormat="1" ht="12" customHeight="1" x14ac:dyDescent="0.2">
      <c r="A20" s="445" t="s">
        <v>102</v>
      </c>
      <c r="B20" s="426" t="s">
        <v>248</v>
      </c>
      <c r="C20" s="298">
        <f>210953048-73405685+6525339+9043728+34665785</f>
        <v>187782215</v>
      </c>
      <c r="D20" s="544" t="s">
        <v>659</v>
      </c>
      <c r="E20" s="543">
        <v>1552395</v>
      </c>
    </row>
    <row r="21" spans="1:6" s="99" customFormat="1" ht="12" customHeight="1" thickBot="1" x14ac:dyDescent="0.25">
      <c r="A21" s="446" t="s">
        <v>111</v>
      </c>
      <c r="B21" s="427" t="s">
        <v>249</v>
      </c>
      <c r="C21" s="300"/>
      <c r="D21" s="568" t="s">
        <v>660</v>
      </c>
      <c r="E21" s="543">
        <f>3295354+9252406+1483613</f>
        <v>14031373</v>
      </c>
      <c r="F21" s="569">
        <f>+E20+E21+E22</f>
        <v>15583768</v>
      </c>
    </row>
    <row r="22" spans="1:6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17511265</v>
      </c>
      <c r="E22" s="543"/>
    </row>
    <row r="23" spans="1:6" s="99" customFormat="1" ht="12" customHeight="1" x14ac:dyDescent="0.2">
      <c r="A23" s="444" t="s">
        <v>81</v>
      </c>
      <c r="B23" s="425" t="s">
        <v>251</v>
      </c>
      <c r="C23" s="299"/>
      <c r="E23" s="569"/>
    </row>
    <row r="24" spans="1:6" s="98" customFormat="1" ht="12" customHeight="1" x14ac:dyDescent="0.2">
      <c r="A24" s="445" t="s">
        <v>82</v>
      </c>
      <c r="B24" s="426" t="s">
        <v>252</v>
      </c>
      <c r="C24" s="298"/>
      <c r="D24" s="544" t="s">
        <v>609</v>
      </c>
      <c r="E24" s="543"/>
    </row>
    <row r="25" spans="1:6" s="99" customFormat="1" ht="12" customHeight="1" x14ac:dyDescent="0.2">
      <c r="A25" s="445" t="s">
        <v>83</v>
      </c>
      <c r="B25" s="426" t="s">
        <v>416</v>
      </c>
      <c r="C25" s="298"/>
      <c r="E25" s="569">
        <f>E23+E24</f>
        <v>0</v>
      </c>
    </row>
    <row r="26" spans="1:6" s="99" customFormat="1" ht="12" customHeight="1" x14ac:dyDescent="0.2">
      <c r="A26" s="445" t="s">
        <v>84</v>
      </c>
      <c r="B26" s="426" t="s">
        <v>417</v>
      </c>
      <c r="C26" s="298"/>
    </row>
    <row r="27" spans="1:6" s="99" customFormat="1" ht="12" customHeight="1" x14ac:dyDescent="0.2">
      <c r="A27" s="445" t="s">
        <v>160</v>
      </c>
      <c r="B27" s="426" t="s">
        <v>253</v>
      </c>
      <c r="C27" s="298">
        <f>2511265+15000000</f>
        <v>17511265</v>
      </c>
    </row>
    <row r="28" spans="1:6" s="99" customFormat="1" ht="12" customHeight="1" thickBot="1" x14ac:dyDescent="0.25">
      <c r="A28" s="446" t="s">
        <v>161</v>
      </c>
      <c r="B28" s="427" t="s">
        <v>254</v>
      </c>
      <c r="C28" s="300"/>
    </row>
    <row r="29" spans="1:6" s="99" customFormat="1" ht="12" customHeight="1" thickBot="1" x14ac:dyDescent="0.25">
      <c r="A29" s="33" t="s">
        <v>162</v>
      </c>
      <c r="B29" s="21" t="s">
        <v>548</v>
      </c>
      <c r="C29" s="302">
        <f>SUM(C30:C37)</f>
        <v>118770710</v>
      </c>
    </row>
    <row r="30" spans="1:6" s="99" customFormat="1" ht="12" customHeight="1" x14ac:dyDescent="0.2">
      <c r="A30" s="444" t="s">
        <v>256</v>
      </c>
      <c r="B30" s="425" t="s">
        <v>543</v>
      </c>
      <c r="C30" s="299"/>
    </row>
    <row r="31" spans="1:6" s="99" customFormat="1" ht="12" customHeight="1" x14ac:dyDescent="0.2">
      <c r="A31" s="445" t="s">
        <v>257</v>
      </c>
      <c r="B31" s="426" t="s">
        <v>544</v>
      </c>
      <c r="C31" s="298">
        <v>15000</v>
      </c>
    </row>
    <row r="32" spans="1:6" s="99" customFormat="1" ht="12" customHeight="1" x14ac:dyDescent="0.2">
      <c r="A32" s="445" t="s">
        <v>258</v>
      </c>
      <c r="B32" s="426" t="s">
        <v>628</v>
      </c>
      <c r="C32" s="298">
        <v>17100000</v>
      </c>
    </row>
    <row r="33" spans="1:6" s="99" customFormat="1" ht="12" customHeight="1" x14ac:dyDescent="0.2">
      <c r="A33" s="445" t="s">
        <v>259</v>
      </c>
      <c r="B33" s="426" t="s">
        <v>545</v>
      </c>
      <c r="C33" s="298">
        <f>90000000-'9.1.2. sz. mell ÖNK'!C33</f>
        <v>85245710</v>
      </c>
    </row>
    <row r="34" spans="1:6" s="99" customFormat="1" ht="12" customHeight="1" x14ac:dyDescent="0.2">
      <c r="A34" s="445" t="s">
        <v>540</v>
      </c>
      <c r="B34" s="426" t="s">
        <v>546</v>
      </c>
      <c r="C34" s="298">
        <v>10000</v>
      </c>
      <c r="E34" s="542"/>
    </row>
    <row r="35" spans="1:6" s="99" customFormat="1" ht="12" customHeight="1" x14ac:dyDescent="0.2">
      <c r="A35" s="445" t="s">
        <v>541</v>
      </c>
      <c r="B35" s="426" t="s">
        <v>260</v>
      </c>
      <c r="C35" s="298">
        <v>15000000</v>
      </c>
      <c r="E35" s="542"/>
    </row>
    <row r="36" spans="1:6" s="99" customFormat="1" ht="12" customHeight="1" x14ac:dyDescent="0.2">
      <c r="A36" s="446" t="s">
        <v>542</v>
      </c>
      <c r="B36" s="426" t="s">
        <v>261</v>
      </c>
      <c r="C36" s="298"/>
      <c r="E36" s="542"/>
    </row>
    <row r="37" spans="1:6" s="99" customFormat="1" ht="12" customHeight="1" thickBot="1" x14ac:dyDescent="0.25">
      <c r="A37" s="446" t="s">
        <v>629</v>
      </c>
      <c r="B37" s="522" t="s">
        <v>262</v>
      </c>
      <c r="C37" s="300">
        <v>1400000</v>
      </c>
      <c r="E37" s="542"/>
    </row>
    <row r="38" spans="1:6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  <c r="E38" s="542"/>
    </row>
    <row r="39" spans="1:6" s="99" customFormat="1" ht="12" customHeight="1" x14ac:dyDescent="0.2">
      <c r="A39" s="444" t="s">
        <v>85</v>
      </c>
      <c r="B39" s="425" t="s">
        <v>265</v>
      </c>
      <c r="C39" s="299">
        <v>1332941</v>
      </c>
    </row>
    <row r="40" spans="1:6" s="99" customFormat="1" ht="12" customHeight="1" x14ac:dyDescent="0.2">
      <c r="A40" s="445" t="s">
        <v>86</v>
      </c>
      <c r="B40" s="426" t="s">
        <v>266</v>
      </c>
      <c r="C40" s="298">
        <v>8300000</v>
      </c>
      <c r="E40" s="542"/>
    </row>
    <row r="41" spans="1:6" s="99" customFormat="1" ht="12" customHeight="1" x14ac:dyDescent="0.2">
      <c r="A41" s="445" t="s">
        <v>87</v>
      </c>
      <c r="B41" s="426" t="s">
        <v>267</v>
      </c>
      <c r="C41" s="298">
        <v>2800000</v>
      </c>
    </row>
    <row r="42" spans="1:6" s="99" customFormat="1" ht="12" customHeight="1" x14ac:dyDescent="0.2">
      <c r="A42" s="445" t="s">
        <v>164</v>
      </c>
      <c r="B42" s="426" t="s">
        <v>268</v>
      </c>
      <c r="C42" s="298"/>
    </row>
    <row r="43" spans="1:6" s="99" customFormat="1" ht="12" customHeight="1" x14ac:dyDescent="0.2">
      <c r="A43" s="445" t="s">
        <v>165</v>
      </c>
      <c r="B43" s="426" t="s">
        <v>269</v>
      </c>
      <c r="C43" s="298"/>
    </row>
    <row r="44" spans="1:6" s="99" customFormat="1" ht="12" customHeight="1" x14ac:dyDescent="0.2">
      <c r="A44" s="445" t="s">
        <v>166</v>
      </c>
      <c r="B44" s="426" t="s">
        <v>270</v>
      </c>
      <c r="C44" s="298">
        <v>1527012</v>
      </c>
    </row>
    <row r="45" spans="1:6" s="99" customFormat="1" ht="12" customHeight="1" x14ac:dyDescent="0.2">
      <c r="A45" s="445" t="s">
        <v>167</v>
      </c>
      <c r="B45" s="426" t="s">
        <v>271</v>
      </c>
      <c r="C45" s="298"/>
    </row>
    <row r="46" spans="1:6" s="99" customFormat="1" ht="12" customHeight="1" x14ac:dyDescent="0.2">
      <c r="A46" s="445" t="s">
        <v>168</v>
      </c>
      <c r="B46" s="426" t="s">
        <v>547</v>
      </c>
      <c r="C46" s="298"/>
      <c r="F46" s="542"/>
    </row>
    <row r="47" spans="1:6" s="99" customFormat="1" ht="12" customHeight="1" x14ac:dyDescent="0.2">
      <c r="A47" s="445" t="s">
        <v>263</v>
      </c>
      <c r="B47" s="426" t="s">
        <v>273</v>
      </c>
      <c r="C47" s="301"/>
      <c r="F47" s="542"/>
    </row>
    <row r="48" spans="1:6" s="99" customFormat="1" ht="12" customHeight="1" x14ac:dyDescent="0.2">
      <c r="A48" s="446" t="s">
        <v>264</v>
      </c>
      <c r="B48" s="427" t="s">
        <v>428</v>
      </c>
      <c r="C48" s="411"/>
      <c r="F48" s="542"/>
    </row>
    <row r="49" spans="1:6" s="99" customFormat="1" ht="12" customHeight="1" thickBot="1" x14ac:dyDescent="0.25">
      <c r="A49" s="446" t="s">
        <v>427</v>
      </c>
      <c r="B49" s="427" t="s">
        <v>274</v>
      </c>
      <c r="C49" s="411"/>
      <c r="F49" s="542"/>
    </row>
    <row r="50" spans="1:6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  <c r="F50" s="542"/>
    </row>
    <row r="51" spans="1:6" s="99" customFormat="1" ht="12" customHeight="1" x14ac:dyDescent="0.2">
      <c r="A51" s="444" t="s">
        <v>88</v>
      </c>
      <c r="B51" s="425" t="s">
        <v>279</v>
      </c>
      <c r="C51" s="470"/>
      <c r="F51" s="542"/>
    </row>
    <row r="52" spans="1:6" s="99" customFormat="1" ht="12" customHeight="1" x14ac:dyDescent="0.2">
      <c r="A52" s="445" t="s">
        <v>89</v>
      </c>
      <c r="B52" s="426" t="s">
        <v>280</v>
      </c>
      <c r="C52" s="301">
        <f>37631869+18128371</f>
        <v>55760240</v>
      </c>
    </row>
    <row r="53" spans="1:6" s="99" customFormat="1" ht="12" customHeight="1" x14ac:dyDescent="0.2">
      <c r="A53" s="445" t="s">
        <v>276</v>
      </c>
      <c r="B53" s="426" t="s">
        <v>281</v>
      </c>
      <c r="C53" s="301">
        <v>1780000</v>
      </c>
    </row>
    <row r="54" spans="1:6" s="99" customFormat="1" ht="12" customHeight="1" x14ac:dyDescent="0.2">
      <c r="A54" s="445" t="s">
        <v>277</v>
      </c>
      <c r="B54" s="426" t="s">
        <v>282</v>
      </c>
      <c r="C54" s="301"/>
    </row>
    <row r="55" spans="1:6" s="99" customFormat="1" ht="12" customHeight="1" thickBot="1" x14ac:dyDescent="0.25">
      <c r="A55" s="446" t="s">
        <v>278</v>
      </c>
      <c r="B55" s="427" t="s">
        <v>283</v>
      </c>
      <c r="C55" s="411"/>
    </row>
    <row r="56" spans="1:6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6" s="99" customFormat="1" ht="12" customHeight="1" x14ac:dyDescent="0.2">
      <c r="A57" s="444" t="s">
        <v>90</v>
      </c>
      <c r="B57" s="425" t="s">
        <v>285</v>
      </c>
      <c r="C57" s="299"/>
    </row>
    <row r="58" spans="1:6" s="99" customFormat="1" ht="12" customHeight="1" x14ac:dyDescent="0.2">
      <c r="A58" s="445" t="s">
        <v>91</v>
      </c>
      <c r="B58" s="426" t="s">
        <v>418</v>
      </c>
      <c r="C58" s="298"/>
    </row>
    <row r="59" spans="1:6" s="99" customFormat="1" ht="12" customHeight="1" x14ac:dyDescent="0.2">
      <c r="A59" s="445" t="s">
        <v>288</v>
      </c>
      <c r="B59" s="426" t="s">
        <v>286</v>
      </c>
      <c r="C59" s="298"/>
    </row>
    <row r="60" spans="1:6" s="99" customFormat="1" ht="12" customHeight="1" thickBot="1" x14ac:dyDescent="0.25">
      <c r="A60" s="446" t="s">
        <v>289</v>
      </c>
      <c r="B60" s="427" t="s">
        <v>287</v>
      </c>
      <c r="C60" s="300"/>
    </row>
    <row r="61" spans="1:6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6" s="99" customFormat="1" ht="12" customHeight="1" x14ac:dyDescent="0.2">
      <c r="A62" s="444" t="s">
        <v>170</v>
      </c>
      <c r="B62" s="425" t="s">
        <v>292</v>
      </c>
      <c r="C62" s="301"/>
    </row>
    <row r="63" spans="1:6" s="99" customFormat="1" ht="12" customHeight="1" x14ac:dyDescent="0.2">
      <c r="A63" s="445" t="s">
        <v>171</v>
      </c>
      <c r="B63" s="426" t="s">
        <v>419</v>
      </c>
      <c r="C63" s="301">
        <v>410000</v>
      </c>
    </row>
    <row r="64" spans="1:6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909353270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950101937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543455392+52271255+73405685+15373959+27000+265568646</f>
        <v>950101937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950101937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1859455207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786943122</v>
      </c>
    </row>
    <row r="95" spans="1:3" ht="12" customHeight="1" x14ac:dyDescent="0.2">
      <c r="A95" s="452" t="s">
        <v>92</v>
      </c>
      <c r="B95" s="10" t="s">
        <v>46</v>
      </c>
      <c r="C95" s="297">
        <f>148919156+8316060+5553489+2684488+25699820</f>
        <v>191173013</v>
      </c>
    </row>
    <row r="96" spans="1:3" ht="12" customHeight="1" x14ac:dyDescent="0.2">
      <c r="A96" s="445" t="s">
        <v>93</v>
      </c>
      <c r="B96" s="8" t="s">
        <v>172</v>
      </c>
      <c r="C96" s="298">
        <f>18345426+727668+971850+2505691</f>
        <v>22550635</v>
      </c>
    </row>
    <row r="97" spans="1:5" ht="12" customHeight="1" x14ac:dyDescent="0.2">
      <c r="A97" s="445" t="s">
        <v>94</v>
      </c>
      <c r="B97" s="8" t="s">
        <v>134</v>
      </c>
      <c r="C97" s="300">
        <f>158980326-11000+50000000-2684488+2784000+305000+259837</f>
        <v>209633675</v>
      </c>
    </row>
    <row r="98" spans="1:5" ht="12" customHeight="1" x14ac:dyDescent="0.2">
      <c r="A98" s="445"/>
      <c r="B98" s="570" t="s">
        <v>611</v>
      </c>
      <c r="C98" s="300">
        <v>2200000</v>
      </c>
    </row>
    <row r="99" spans="1:5" ht="12" customHeight="1" x14ac:dyDescent="0.2">
      <c r="A99" s="445" t="s">
        <v>95</v>
      </c>
      <c r="B99" s="11" t="s">
        <v>173</v>
      </c>
      <c r="C99" s="300">
        <f>25982000-2784000+23000000</f>
        <v>46198000</v>
      </c>
    </row>
    <row r="100" spans="1:5" ht="12" customHeight="1" x14ac:dyDescent="0.2">
      <c r="A100" s="445" t="s">
        <v>106</v>
      </c>
      <c r="B100" s="19" t="s">
        <v>174</v>
      </c>
      <c r="C100" s="300">
        <f>+C107+C112+C101</f>
        <v>32633080</v>
      </c>
    </row>
    <row r="101" spans="1:5" ht="12" customHeight="1" x14ac:dyDescent="0.2">
      <c r="A101" s="445" t="s">
        <v>96</v>
      </c>
      <c r="B101" s="8" t="s">
        <v>498</v>
      </c>
      <c r="C101" s="300">
        <v>1786000</v>
      </c>
    </row>
    <row r="102" spans="1:5" ht="12" customHeight="1" x14ac:dyDescent="0.2">
      <c r="A102" s="445" t="s">
        <v>97</v>
      </c>
      <c r="B102" s="149" t="s">
        <v>433</v>
      </c>
      <c r="C102" s="300"/>
    </row>
    <row r="103" spans="1:5" ht="12" customHeight="1" x14ac:dyDescent="0.2">
      <c r="A103" s="445" t="s">
        <v>107</v>
      </c>
      <c r="B103" s="149" t="s">
        <v>432</v>
      </c>
      <c r="C103" s="300"/>
    </row>
    <row r="104" spans="1:5" ht="12" customHeight="1" x14ac:dyDescent="0.2">
      <c r="A104" s="445" t="s">
        <v>108</v>
      </c>
      <c r="B104" s="149" t="s">
        <v>342</v>
      </c>
      <c r="C104" s="300"/>
      <c r="E104" s="546"/>
    </row>
    <row r="105" spans="1:5" ht="12" customHeight="1" x14ac:dyDescent="0.2">
      <c r="A105" s="445" t="s">
        <v>109</v>
      </c>
      <c r="B105" s="150" t="s">
        <v>343</v>
      </c>
      <c r="C105" s="300"/>
      <c r="D105" s="3" t="s">
        <v>577</v>
      </c>
      <c r="E105" s="546"/>
    </row>
    <row r="106" spans="1:5" ht="12" customHeight="1" x14ac:dyDescent="0.2">
      <c r="A106" s="445" t="s">
        <v>110</v>
      </c>
      <c r="B106" s="150" t="s">
        <v>344</v>
      </c>
      <c r="C106" s="300"/>
      <c r="D106" s="3" t="s">
        <v>576</v>
      </c>
      <c r="E106" s="546">
        <v>100000</v>
      </c>
    </row>
    <row r="107" spans="1:5" ht="12" customHeight="1" x14ac:dyDescent="0.2">
      <c r="A107" s="445" t="s">
        <v>112</v>
      </c>
      <c r="B107" s="149" t="s">
        <v>345</v>
      </c>
      <c r="C107" s="300">
        <v>1600000</v>
      </c>
      <c r="D107" s="3" t="s">
        <v>572</v>
      </c>
      <c r="E107" s="546">
        <v>1500000</v>
      </c>
    </row>
    <row r="108" spans="1:5" ht="12" customHeight="1" x14ac:dyDescent="0.2">
      <c r="A108" s="445" t="s">
        <v>175</v>
      </c>
      <c r="B108" s="149" t="s">
        <v>346</v>
      </c>
      <c r="C108" s="300"/>
      <c r="E108" s="546"/>
    </row>
    <row r="109" spans="1:5" ht="12" customHeight="1" x14ac:dyDescent="0.2">
      <c r="A109" s="445" t="s">
        <v>340</v>
      </c>
      <c r="B109" s="150" t="s">
        <v>347</v>
      </c>
      <c r="C109" s="300"/>
      <c r="E109" s="546"/>
    </row>
    <row r="110" spans="1:5" ht="12" customHeight="1" x14ac:dyDescent="0.2">
      <c r="A110" s="453" t="s">
        <v>341</v>
      </c>
      <c r="B110" s="151" t="s">
        <v>348</v>
      </c>
      <c r="C110" s="300"/>
      <c r="E110" s="546"/>
    </row>
    <row r="111" spans="1:5" ht="12" customHeight="1" x14ac:dyDescent="0.2">
      <c r="A111" s="445" t="s">
        <v>430</v>
      </c>
      <c r="B111" s="151" t="s">
        <v>349</v>
      </c>
      <c r="C111" s="300"/>
      <c r="E111" s="546"/>
    </row>
    <row r="112" spans="1:5" ht="12" customHeight="1" x14ac:dyDescent="0.2">
      <c r="A112" s="445" t="s">
        <v>431</v>
      </c>
      <c r="B112" s="150" t="s">
        <v>350</v>
      </c>
      <c r="C112" s="298">
        <f>24000000+5247080</f>
        <v>29247080</v>
      </c>
      <c r="D112" s="3" t="s">
        <v>573</v>
      </c>
      <c r="E112" s="546">
        <v>3000000</v>
      </c>
    </row>
    <row r="113" spans="1:5" ht="12" customHeight="1" x14ac:dyDescent="0.2">
      <c r="A113" s="445" t="s">
        <v>435</v>
      </c>
      <c r="B113" s="11" t="s">
        <v>47</v>
      </c>
      <c r="C113" s="298">
        <f>+C114+C115</f>
        <v>284754719</v>
      </c>
      <c r="D113" s="3" t="s">
        <v>574</v>
      </c>
      <c r="E113" s="546">
        <v>300000</v>
      </c>
    </row>
    <row r="114" spans="1:5" ht="12" customHeight="1" x14ac:dyDescent="0.2">
      <c r="A114" s="446" t="s">
        <v>436</v>
      </c>
      <c r="B114" s="8" t="s">
        <v>499</v>
      </c>
      <c r="C114" s="300"/>
      <c r="D114" s="3" t="s">
        <v>575</v>
      </c>
      <c r="E114" s="546">
        <v>200000</v>
      </c>
    </row>
    <row r="115" spans="1:5" ht="12" customHeight="1" thickBot="1" x14ac:dyDescent="0.25">
      <c r="A115" s="454" t="s">
        <v>437</v>
      </c>
      <c r="B115" s="152" t="s">
        <v>500</v>
      </c>
      <c r="C115" s="304">
        <f>26619766+3224105+265568646+1460482-2650567-1786000-23000000-305000-443219+6200437+182069+9684000</f>
        <v>284754719</v>
      </c>
      <c r="D115" s="3" t="s">
        <v>642</v>
      </c>
      <c r="E115" s="546">
        <v>250000</v>
      </c>
    </row>
    <row r="116" spans="1:5" ht="12" customHeight="1" thickBot="1" x14ac:dyDescent="0.25">
      <c r="A116" s="33" t="s">
        <v>16</v>
      </c>
      <c r="B116" s="27" t="s">
        <v>351</v>
      </c>
      <c r="C116" s="296">
        <f>+C117+C119+C121</f>
        <v>565419203</v>
      </c>
      <c r="D116" s="3" t="s">
        <v>608</v>
      </c>
      <c r="E116" s="546">
        <f>14500000+5500000</f>
        <v>20000000</v>
      </c>
    </row>
    <row r="117" spans="1:5" ht="12" customHeight="1" x14ac:dyDescent="0.2">
      <c r="A117" s="444" t="s">
        <v>98</v>
      </c>
      <c r="B117" s="8" t="s">
        <v>214</v>
      </c>
      <c r="C117" s="299">
        <f>590318711+799925-50000000</f>
        <v>541118636</v>
      </c>
      <c r="D117" s="3" t="s">
        <v>643</v>
      </c>
      <c r="E117" s="546">
        <v>50000</v>
      </c>
    </row>
    <row r="118" spans="1:5" ht="12" customHeight="1" x14ac:dyDescent="0.2">
      <c r="A118" s="444" t="s">
        <v>99</v>
      </c>
      <c r="B118" s="12" t="s">
        <v>355</v>
      </c>
      <c r="C118" s="299"/>
      <c r="D118" s="3" t="s">
        <v>644</v>
      </c>
      <c r="E118" s="546">
        <v>100000</v>
      </c>
    </row>
    <row r="119" spans="1:5" ht="12" customHeight="1" x14ac:dyDescent="0.2">
      <c r="A119" s="444" t="s">
        <v>100</v>
      </c>
      <c r="B119" s="12" t="s">
        <v>176</v>
      </c>
      <c r="C119" s="298">
        <f>5350000+17650567</f>
        <v>23000567</v>
      </c>
      <c r="D119" s="3" t="s">
        <v>645</v>
      </c>
      <c r="E119" s="546">
        <v>100000</v>
      </c>
    </row>
    <row r="120" spans="1:5" ht="12" customHeight="1" x14ac:dyDescent="0.2">
      <c r="A120" s="444" t="s">
        <v>101</v>
      </c>
      <c r="B120" s="12" t="s">
        <v>356</v>
      </c>
      <c r="C120" s="279"/>
      <c r="E120" s="585">
        <f>SUM(E112:E119)</f>
        <v>24000000</v>
      </c>
    </row>
    <row r="121" spans="1:5" ht="12" customHeight="1" x14ac:dyDescent="0.2">
      <c r="A121" s="444" t="s">
        <v>102</v>
      </c>
      <c r="B121" s="293" t="s">
        <v>217</v>
      </c>
      <c r="C121" s="279">
        <v>1300000</v>
      </c>
    </row>
    <row r="122" spans="1:5" ht="12" customHeight="1" x14ac:dyDescent="0.2">
      <c r="A122" s="444" t="s">
        <v>111</v>
      </c>
      <c r="B122" s="292" t="s">
        <v>420</v>
      </c>
      <c r="C122" s="279"/>
    </row>
    <row r="123" spans="1:5" ht="12" customHeight="1" x14ac:dyDescent="0.2">
      <c r="A123" s="444" t="s">
        <v>113</v>
      </c>
      <c r="B123" s="421" t="s">
        <v>361</v>
      </c>
      <c r="C123" s="279"/>
    </row>
    <row r="124" spans="1:5" ht="12" customHeight="1" x14ac:dyDescent="0.2">
      <c r="A124" s="444" t="s">
        <v>177</v>
      </c>
      <c r="B124" s="150" t="s">
        <v>344</v>
      </c>
      <c r="C124" s="279"/>
    </row>
    <row r="125" spans="1:5" ht="12" customHeight="1" x14ac:dyDescent="0.2">
      <c r="A125" s="444" t="s">
        <v>178</v>
      </c>
      <c r="B125" s="150" t="s">
        <v>360</v>
      </c>
      <c r="C125" s="279"/>
    </row>
    <row r="126" spans="1:5" ht="12" customHeight="1" x14ac:dyDescent="0.2">
      <c r="A126" s="444" t="s">
        <v>179</v>
      </c>
      <c r="B126" s="150" t="s">
        <v>359</v>
      </c>
      <c r="C126" s="279"/>
    </row>
    <row r="127" spans="1:5" ht="12" customHeight="1" x14ac:dyDescent="0.2">
      <c r="A127" s="444" t="s">
        <v>352</v>
      </c>
      <c r="B127" s="150" t="s">
        <v>347</v>
      </c>
      <c r="C127" s="279"/>
    </row>
    <row r="128" spans="1:5" ht="12" customHeight="1" x14ac:dyDescent="0.2">
      <c r="A128" s="444" t="s">
        <v>353</v>
      </c>
      <c r="B128" s="150" t="s">
        <v>358</v>
      </c>
      <c r="C128" s="279"/>
    </row>
    <row r="129" spans="1:11" ht="12" customHeight="1" thickBot="1" x14ac:dyDescent="0.25">
      <c r="A129" s="453" t="s">
        <v>354</v>
      </c>
      <c r="B129" s="150" t="s">
        <v>357</v>
      </c>
      <c r="C129" s="281"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1352362325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5875000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f>5864000+11000</f>
        <v>5875000</v>
      </c>
    </row>
    <row r="133" spans="1:11" ht="12" customHeight="1" x14ac:dyDescent="0.2">
      <c r="A133" s="444" t="s">
        <v>257</v>
      </c>
      <c r="B133" s="9" t="s">
        <v>449</v>
      </c>
      <c r="C133" s="279"/>
    </row>
    <row r="134" spans="1:11" ht="12" customHeight="1" thickBot="1" x14ac:dyDescent="0.25">
      <c r="A134" s="453" t="s">
        <v>258</v>
      </c>
      <c r="B134" s="7" t="s">
        <v>503</v>
      </c>
      <c r="C134" s="279"/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/>
    </row>
    <row r="137" spans="1:11" ht="12" customHeight="1" x14ac:dyDescent="0.2">
      <c r="A137" s="444" t="s">
        <v>86</v>
      </c>
      <c r="B137" s="9" t="s">
        <v>443</v>
      </c>
      <c r="C137" s="279"/>
    </row>
    <row r="138" spans="1:11" ht="12" customHeight="1" x14ac:dyDescent="0.2">
      <c r="A138" s="444" t="s">
        <v>87</v>
      </c>
      <c r="B138" s="9" t="s">
        <v>444</v>
      </c>
      <c r="C138" s="279"/>
    </row>
    <row r="139" spans="1:11" ht="12" customHeight="1" x14ac:dyDescent="0.2">
      <c r="A139" s="444" t="s">
        <v>164</v>
      </c>
      <c r="B139" s="9" t="s">
        <v>502</v>
      </c>
      <c r="C139" s="279"/>
    </row>
    <row r="140" spans="1:11" ht="12" customHeight="1" x14ac:dyDescent="0.2">
      <c r="A140" s="444" t="s">
        <v>165</v>
      </c>
      <c r="B140" s="9" t="s">
        <v>446</v>
      </c>
      <c r="C140" s="279"/>
    </row>
    <row r="141" spans="1:11" s="100" customFormat="1" ht="12" customHeight="1" thickBot="1" x14ac:dyDescent="0.25">
      <c r="A141" s="453" t="s">
        <v>166</v>
      </c>
      <c r="B141" s="7" t="s">
        <v>447</v>
      </c>
      <c r="C141" s="279"/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501217882</v>
      </c>
      <c r="K142" s="261"/>
    </row>
    <row r="143" spans="1:11" x14ac:dyDescent="0.2">
      <c r="A143" s="444" t="s">
        <v>88</v>
      </c>
      <c r="B143" s="9" t="s">
        <v>362</v>
      </c>
      <c r="C143" s="279"/>
    </row>
    <row r="144" spans="1:11" ht="12" customHeight="1" x14ac:dyDescent="0.2">
      <c r="A144" s="444" t="s">
        <v>89</v>
      </c>
      <c r="B144" s="9" t="s">
        <v>363</v>
      </c>
      <c r="C144" s="279">
        <v>17448337</v>
      </c>
    </row>
    <row r="145" spans="1:6" s="100" customFormat="1" ht="12" customHeight="1" x14ac:dyDescent="0.2">
      <c r="A145" s="444" t="s">
        <v>276</v>
      </c>
      <c r="B145" s="9" t="s">
        <v>528</v>
      </c>
      <c r="C145" s="279">
        <f>'9.2. sz. mell HIV'!C41+'9.3. sz. mell GAM'!C40+'9.4. sz. mell ILMKS'!C40+'9.5. sz. mell OVI'!C40+'9.6. sz. mell CSSK'!C40</f>
        <v>482650535</v>
      </c>
    </row>
    <row r="146" spans="1:6" s="100" customFormat="1" ht="12" customHeight="1" x14ac:dyDescent="0.2">
      <c r="A146" s="444" t="s">
        <v>277</v>
      </c>
      <c r="B146" s="9" t="s">
        <v>456</v>
      </c>
      <c r="C146" s="279"/>
    </row>
    <row r="147" spans="1:6" s="100" customFormat="1" ht="12" customHeight="1" thickBot="1" x14ac:dyDescent="0.25">
      <c r="A147" s="453" t="s">
        <v>278</v>
      </c>
      <c r="B147" s="7" t="s">
        <v>382</v>
      </c>
      <c r="C147" s="279">
        <v>1119010</v>
      </c>
    </row>
    <row r="148" spans="1:6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6" s="100" customFormat="1" ht="12" customHeight="1" x14ac:dyDescent="0.2">
      <c r="A149" s="444" t="s">
        <v>90</v>
      </c>
      <c r="B149" s="9" t="s">
        <v>452</v>
      </c>
      <c r="C149" s="279"/>
    </row>
    <row r="150" spans="1:6" s="100" customFormat="1" ht="12" customHeight="1" x14ac:dyDescent="0.2">
      <c r="A150" s="444" t="s">
        <v>91</v>
      </c>
      <c r="B150" s="9" t="s">
        <v>459</v>
      </c>
      <c r="C150" s="279"/>
    </row>
    <row r="151" spans="1:6" s="100" customFormat="1" ht="12" customHeight="1" x14ac:dyDescent="0.2">
      <c r="A151" s="444" t="s">
        <v>288</v>
      </c>
      <c r="B151" s="9" t="s">
        <v>454</v>
      </c>
      <c r="C151" s="279"/>
    </row>
    <row r="152" spans="1:6" ht="12.75" customHeight="1" x14ac:dyDescent="0.2">
      <c r="A152" s="444" t="s">
        <v>289</v>
      </c>
      <c r="B152" s="9" t="s">
        <v>505</v>
      </c>
      <c r="C152" s="279"/>
    </row>
    <row r="153" spans="1:6" ht="12.75" customHeight="1" thickBot="1" x14ac:dyDescent="0.25">
      <c r="A153" s="453" t="s">
        <v>458</v>
      </c>
      <c r="B153" s="7" t="s">
        <v>461</v>
      </c>
      <c r="C153" s="281"/>
    </row>
    <row r="154" spans="1:6" ht="12.75" customHeight="1" thickBot="1" x14ac:dyDescent="0.25">
      <c r="A154" s="497" t="s">
        <v>22</v>
      </c>
      <c r="B154" s="132" t="s">
        <v>462</v>
      </c>
      <c r="C154" s="305"/>
    </row>
    <row r="155" spans="1:6" ht="12" customHeight="1" thickBot="1" x14ac:dyDescent="0.25">
      <c r="A155" s="497" t="s">
        <v>23</v>
      </c>
      <c r="B155" s="132" t="s">
        <v>463</v>
      </c>
      <c r="C155" s="305"/>
    </row>
    <row r="156" spans="1:6" ht="15" customHeight="1" thickBot="1" x14ac:dyDescent="0.25">
      <c r="A156" s="33" t="s">
        <v>24</v>
      </c>
      <c r="B156" s="132" t="s">
        <v>465</v>
      </c>
      <c r="C156" s="435">
        <f>+C131+C135+C142+C148+C154+C155</f>
        <v>507092882</v>
      </c>
    </row>
    <row r="157" spans="1:6" ht="13.5" thickBot="1" x14ac:dyDescent="0.25">
      <c r="A157" s="455" t="s">
        <v>25</v>
      </c>
      <c r="B157" s="387" t="s">
        <v>464</v>
      </c>
      <c r="C157" s="435">
        <f>+C130+C156</f>
        <v>1859455207</v>
      </c>
      <c r="F157" s="44">
        <f>C157-C91</f>
        <v>0</v>
      </c>
    </row>
    <row r="158" spans="1:6" ht="15" customHeight="1" thickBot="1" x14ac:dyDescent="0.25">
      <c r="A158" s="395"/>
      <c r="B158" s="396"/>
      <c r="C158" s="397"/>
    </row>
    <row r="159" spans="1:6" ht="14.25" customHeight="1" thickBot="1" x14ac:dyDescent="0.25">
      <c r="A159" s="258" t="s">
        <v>506</v>
      </c>
      <c r="B159" s="259"/>
      <c r="C159" s="129"/>
    </row>
    <row r="160" spans="1:6" ht="13.5" thickBot="1" x14ac:dyDescent="0.25">
      <c r="A160" s="258" t="s">
        <v>195</v>
      </c>
      <c r="B160" s="259"/>
      <c r="C1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88" zoomScale="85" zoomScaleNormal="130" zoomScaleSheetLayoutView="85" workbookViewId="0">
      <selection activeCell="C34" sqref="C3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.../2019. (…...)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6245112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>
        <v>6245112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4754290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630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>
        <v>4754290</v>
      </c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427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549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427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427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10999402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10999402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10999402</v>
      </c>
    </row>
    <row r="95" spans="1:3" ht="12" customHeight="1" x14ac:dyDescent="0.2">
      <c r="A95" s="452" t="s">
        <v>92</v>
      </c>
      <c r="B95" s="10" t="s">
        <v>46</v>
      </c>
      <c r="C95" s="297">
        <v>6747617</v>
      </c>
    </row>
    <row r="96" spans="1:3" ht="12" customHeight="1" x14ac:dyDescent="0.2">
      <c r="A96" s="445" t="s">
        <v>93</v>
      </c>
      <c r="B96" s="8" t="s">
        <v>172</v>
      </c>
      <c r="C96" s="298">
        <v>1815785</v>
      </c>
    </row>
    <row r="97" spans="1:3" ht="12" customHeight="1" x14ac:dyDescent="0.2">
      <c r="A97" s="445" t="s">
        <v>94</v>
      </c>
      <c r="B97" s="8" t="s">
        <v>134</v>
      </c>
      <c r="C97" s="300">
        <v>2436000</v>
      </c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10999402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10999402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115" zoomScale="85" zoomScaleNormal="130" zoomScaleSheetLayoutView="85" workbookViewId="0">
      <selection activeCell="C6" sqref="C6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…./2019. (…..)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0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/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628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/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522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547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522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522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522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0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526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0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0</v>
      </c>
    </row>
    <row r="95" spans="1:3" ht="12" customHeight="1" x14ac:dyDescent="0.2">
      <c r="A95" s="452" t="s">
        <v>92</v>
      </c>
      <c r="B95" s="10" t="s">
        <v>46</v>
      </c>
      <c r="C95" s="297"/>
    </row>
    <row r="96" spans="1:3" ht="12" customHeight="1" x14ac:dyDescent="0.2">
      <c r="A96" s="445" t="s">
        <v>93</v>
      </c>
      <c r="B96" s="8" t="s">
        <v>172</v>
      </c>
      <c r="C96" s="298"/>
    </row>
    <row r="97" spans="1:3" ht="12" customHeight="1" x14ac:dyDescent="0.2">
      <c r="A97" s="445" t="s">
        <v>94</v>
      </c>
      <c r="B97" s="8" t="s">
        <v>134</v>
      </c>
      <c r="C97" s="300"/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0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0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607500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240000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300000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5392929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5392929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6050429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117146857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271282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116875575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123197286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123197286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92817808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19316479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11062999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123197286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24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view="pageLayout" topLeftCell="B110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513378887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209130731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 sz. mell ÖNK'!C10</f>
        <v>71626400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 sz. mell ÖNK'!C11</f>
        <v>197508581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 sz. mell ÖNK'!C12</f>
        <v>10858095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 sz. mell ÖNK'!C13</f>
        <v>24255080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214859148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 sz. mell ÖNK'!C20+'9.4. sz. mell ILMKS'!C23+'9.3. sz. mell GAM'!C23+'9.2. sz. mell HIV'!C23</f>
        <v>214859148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17831266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 sz. mell ÖNK'!C27+'9.4. sz. mell ILMKS'!C28</f>
        <v>17831266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SUM(C27:C34)+'9.2. sz. mell HIV'!C25</f>
        <v>123575000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 sz. mell ÖNK'!C33</f>
        <v>90000000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79027303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 sz. mell ÖNK'!C39+'9.2. sz. mell HIV'!C9+'9.3. sz. mell GAM'!C9+'9.4. sz. mell ILMKS'!C9+'9.5. sz. mell OVI'!C9</f>
        <v>5147941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 sz. mell ÖNK'!C40+'9.2. sz. mell HIV'!C10+'9.3. sz. mell GAM'!C10+'9.4. sz. mell ILMKS'!C10+'9.5. sz. mell OVI'!C10</f>
        <v>50334100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 sz. mell ÖNK'!C41+'9.2. sz. mell HIV'!C11+'9.3. sz. mell GAM'!C11+'9.4. sz. mell ILMKS'!C11+'9.5.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 sz. mell ÖNK'!C42+'9.2. sz. mell HIV'!C12+'9.3. sz. mell GAM'!C12+'9.4. sz. mell ILMKS'!C12+'9.5.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 sz. mell ÖNK'!C43+'9.2. sz. mell HIV'!C13+'9.3. sz. mell GAM'!C13+'9.4. sz. mell ILMKS'!C13+'9.5.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 sz. mell ÖNK'!C44+'9.2. sz. mell HIV'!C14+'9.3. sz. mell GAM'!C14+'9.4. sz. mell ILMKS'!C14+'9.5. sz. mell OVI'!C14</f>
        <v>13502705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 sz. mell ÖNK'!C45+'9.2. sz. mell HIV'!C15+'9.3. sz. mell GAM'!C15+'9.4. sz. mell ILMKS'!C15+'9.5.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 sz. mell ÖNK'!C46+'9.2. sz. mell HIV'!C16+'9.3. sz. mell GAM'!C16+'9.4. sz. mell ILMKS'!C16+'9.5.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 sz. mell ÖNK'!C47+'9.2. sz. mell HIV'!C17+'9.3. sz. mell GAM'!C17+'9.4. sz. mell ILMKS'!C17+'9.5.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 sz. mell ÖNK'!C48+'9.2. sz. mell HIV'!C18+'9.3. sz. mell GAM'!C18+'9.4. sz. mell ILMKS'!C18+'9.5.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 sz. mell ÖNK'!C49+'9.2. sz. mell HIV'!C19+'9.3. sz. mell GAM'!C19+'9.4. sz. mell ILMKS'!C19+'9.5. sz. mell OVI'!C19</f>
        <v>300000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 sz. mell ÖNK'!C51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 sz. mell ÖNK'!C52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 sz. mell ÖNK'!C53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470">
        <f>'9.1. sz. mell ÖNK'!C54</f>
        <v>0</v>
      </c>
    </row>
    <row r="52" spans="1:3" s="424" customFormat="1" ht="12" customHeight="1" thickBot="1" x14ac:dyDescent="0.25">
      <c r="A52" s="16" t="s">
        <v>278</v>
      </c>
      <c r="B52" s="293" t="s">
        <v>283</v>
      </c>
      <c r="C52" s="470">
        <f>'9.1. sz. mell ÖNK'!C55</f>
        <v>0</v>
      </c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1006621844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952492965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 sz. mell HIV'!C39+'9.3. sz. mell GAM'!C38+'9.4. sz. mell ILMKS'!C38+'9.5. sz. mell OVI'!C38+'9.6. sz. mell CSSK'!C38</f>
        <v>951562419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 sz. mell HIV'!C40+'9.3. sz. mell GAM'!C39+'9.4. sz. mell ILMKS'!C39+'9.5. sz. mell OVI'!C39</f>
        <v>930546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952492965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1959114809</v>
      </c>
    </row>
    <row r="89" spans="1:3" s="424" customFormat="1" ht="36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+C95+C96+C97+C98+C99+C112</f>
        <v>1359773568</v>
      </c>
    </row>
    <row r="95" spans="1:3" ht="12" customHeight="1" x14ac:dyDescent="0.25">
      <c r="A95" s="17" t="s">
        <v>92</v>
      </c>
      <c r="B95" s="10" t="s">
        <v>46</v>
      </c>
      <c r="C95" s="536">
        <f>'9.1. sz. mell ÖNK'!C95+'9.2. sz. mell HIV'!C47+'9.3. sz. mell GAM'!C46+'9.4. sz. mell ILMKS'!C46+'9.5. sz. mell OVI'!C46+'9.6. sz. mell CSSK'!C46</f>
        <v>528271643</v>
      </c>
    </row>
    <row r="96" spans="1:3" ht="12" customHeight="1" x14ac:dyDescent="0.25">
      <c r="A96" s="14" t="s">
        <v>93</v>
      </c>
      <c r="B96" s="8" t="s">
        <v>172</v>
      </c>
      <c r="C96" s="298">
        <f>'9.1. sz. mell ÖNK'!C96+'9.2. sz. mell HIV'!C48+'9.3. sz. mell GAM'!C47+'9.4. sz. mell ILMKS'!C47+'9.5. sz. mell OVI'!C47+'9.6. sz. mell CSSK'!C47</f>
        <v>90692317</v>
      </c>
    </row>
    <row r="97" spans="1:3" ht="12" customHeight="1" x14ac:dyDescent="0.25">
      <c r="A97" s="14" t="s">
        <v>94</v>
      </c>
      <c r="B97" s="8" t="s">
        <v>134</v>
      </c>
      <c r="C97" s="537">
        <f>'9.1. sz. mell ÖNK'!C97+'9.2. sz. mell HIV'!C49+'9.3. sz. mell GAM'!C48+'9.4. sz. mell ILMKS'!C48+'9.5. sz. mell OVI'!C48+'9.6. sz. mell CSSK'!C48</f>
        <v>377140060</v>
      </c>
    </row>
    <row r="98" spans="1:3" ht="12" customHeight="1" x14ac:dyDescent="0.25">
      <c r="A98" s="14" t="s">
        <v>95</v>
      </c>
      <c r="B98" s="11" t="s">
        <v>173</v>
      </c>
      <c r="C98" s="298">
        <f>'9.1. sz. mell ÖNK'!C99+'9.2. sz. mell HIV'!C50+'9.3. sz. mell GAM'!C49+'9.4. sz. mell ILMKS'!C49+'9.5. sz. mell OVI'!C49+'9.6. sz. mell CSSK'!C49</f>
        <v>46198000</v>
      </c>
    </row>
    <row r="99" spans="1:3" ht="12" customHeight="1" x14ac:dyDescent="0.25">
      <c r="A99" s="14" t="s">
        <v>106</v>
      </c>
      <c r="B99" s="19" t="s">
        <v>174</v>
      </c>
      <c r="C99" s="537">
        <f>'9.1. sz. mell ÖNK'!C100+'9.2. sz. mell HIV'!C51+'9.3. sz. mell GAM'!C50+'9.4. sz. mell ILMKS'!C50+'9.5. sz. mell OVI'!C50+'9.6. sz. mell CSSK'!C50</f>
        <v>32716829</v>
      </c>
    </row>
    <row r="100" spans="1:3" ht="12" customHeight="1" x14ac:dyDescent="0.25">
      <c r="A100" s="14" t="s">
        <v>96</v>
      </c>
      <c r="B100" s="8" t="s">
        <v>434</v>
      </c>
      <c r="C100" s="300">
        <f>'9.1. sz. mell ÖNK'!C101</f>
        <v>1786000</v>
      </c>
    </row>
    <row r="101" spans="1:3" ht="12" customHeight="1" x14ac:dyDescent="0.25">
      <c r="A101" s="14" t="s">
        <v>97</v>
      </c>
      <c r="B101" s="151" t="s">
        <v>433</v>
      </c>
      <c r="C101" s="300">
        <f>'9.1.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 sz. mell ÖNK'!C112</f>
        <v>29247080</v>
      </c>
    </row>
    <row r="112" spans="1:3" ht="12" customHeight="1" x14ac:dyDescent="0.25">
      <c r="A112" s="14" t="s">
        <v>435</v>
      </c>
      <c r="B112" s="11" t="s">
        <v>47</v>
      </c>
      <c r="C112" s="300">
        <f>'9.1. sz. mell ÖNK'!C113</f>
        <v>284754719</v>
      </c>
    </row>
    <row r="113" spans="1:3" ht="12" customHeight="1" x14ac:dyDescent="0.25">
      <c r="A113" s="14" t="s">
        <v>436</v>
      </c>
      <c r="B113" s="8" t="s">
        <v>438</v>
      </c>
      <c r="C113" s="300">
        <f>'9.1.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 sz. mell ÖNK'!C115</f>
        <v>284754719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574898894</v>
      </c>
    </row>
    <row r="116" spans="1:3" ht="12" customHeight="1" x14ac:dyDescent="0.25">
      <c r="A116" s="15" t="s">
        <v>98</v>
      </c>
      <c r="B116" s="8" t="s">
        <v>214</v>
      </c>
      <c r="C116" s="299">
        <f>'9.1. sz. mell ÖNK'!C117+'9.2. sz. mell HIV'!C53+'9.3. sz. mell GAM'!C52+'9.4. sz. mell ILMKS'!C52+'9.5. sz. mell OVI'!C52+'9.6. sz. mell CSSK'!C52</f>
        <v>548607962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9">
        <f>'9.1. sz. mell ÖNK'!C119+'9.2. sz. mell HIV'!C54+'9.3. sz. mell GAM'!C53+'9.4. sz. mell ILMKS'!C53+'9.5. sz. mell OVI'!C53+'9.6. sz. mell CSSK'!C53</f>
        <v>24990932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99">
        <f>'9.1. sz. mell ÖNK'!C121+'9.2. sz. mell HIV'!C55+'9.3. sz. mell GAM'!C54+'9.4. sz. mell ILMKS'!C54+'9.5.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>
        <f>'9.1. sz. mell ÖNK'!C129</f>
        <v>1300000</v>
      </c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1934672462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5875000</v>
      </c>
    </row>
    <row r="131" spans="1:3" ht="12" customHeight="1" x14ac:dyDescent="0.25">
      <c r="A131" s="15" t="s">
        <v>256</v>
      </c>
      <c r="B131" s="12" t="s">
        <v>448</v>
      </c>
      <c r="C131" s="279">
        <f>'9.1. sz. mell ÖNK'!C132</f>
        <v>5875000</v>
      </c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>
        <f>'9.1.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24442347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1959114809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-928050618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928050618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dőlt"&amp;11 1.1. melléklet a /2019.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607500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f>250000-10000</f>
        <v>240000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>
        <f>10000+290000</f>
        <v>300000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5392929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1739980+1559155+107931+2027688-41825</f>
        <v>5392929</v>
      </c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6050429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89973275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v>271282</v>
      </c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C58-C37-C39</f>
        <v>89701993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96023704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96023704</v>
      </c>
    </row>
    <row r="47" spans="1:3" ht="12" customHeight="1" x14ac:dyDescent="0.2">
      <c r="A47" s="460" t="s">
        <v>92</v>
      </c>
      <c r="B47" s="9" t="s">
        <v>46</v>
      </c>
      <c r="C47" s="77">
        <f>58996190+1307800+9125245+1578000+72930</f>
        <v>71080165</v>
      </c>
    </row>
    <row r="48" spans="1:3" ht="12" customHeight="1" x14ac:dyDescent="0.2">
      <c r="A48" s="460" t="s">
        <v>93</v>
      </c>
      <c r="B48" s="8" t="s">
        <v>172</v>
      </c>
      <c r="C48" s="80">
        <f>12690516+267191+1770154+317678+35001</f>
        <v>15080540</v>
      </c>
    </row>
    <row r="49" spans="1:3" ht="12" customHeight="1" x14ac:dyDescent="0.2">
      <c r="A49" s="460" t="s">
        <v>94</v>
      </c>
      <c r="B49" s="8" t="s">
        <v>134</v>
      </c>
      <c r="C49" s="80">
        <f>9187050+279264+438510-41825</f>
        <v>9862999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96023704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0" zoomScaleNormal="100" workbookViewId="0">
      <selection activeCell="C8" sqref="C8:C58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27173582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27173582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27173582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27173582</v>
      </c>
    </row>
    <row r="47" spans="1:3" ht="12" customHeight="1" x14ac:dyDescent="0.2">
      <c r="A47" s="460" t="s">
        <v>92</v>
      </c>
      <c r="B47" s="9" t="s">
        <v>46</v>
      </c>
      <c r="C47" s="77">
        <f>18681211+200000+2856432</f>
        <v>21737643</v>
      </c>
    </row>
    <row r="48" spans="1:3" ht="12" customHeight="1" x14ac:dyDescent="0.2">
      <c r="A48" s="460" t="s">
        <v>93</v>
      </c>
      <c r="B48" s="8" t="s">
        <v>172</v>
      </c>
      <c r="C48" s="80">
        <f>3681836+554103</f>
        <v>4235939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27173582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5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49323400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31174100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9906743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11395520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11395520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60718920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181003544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103450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180900094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241722464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237732099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106387735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20733609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110610755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2300000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1690365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241722464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f>'9.3.1. sz. mell GAM'!C59+'9.3.2. sz. mell GAM'!C59+'9.3.3. sz. mell GAM'!C59</f>
        <v>49</v>
      </c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17645663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f>6200000+1331000</f>
        <v>7531000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2812741+359365</f>
        <v>3172106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8546640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8546640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26192303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178281409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103450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178177959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204473712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200483347</v>
      </c>
    </row>
    <row r="46" spans="1:3" ht="12" customHeight="1" x14ac:dyDescent="0.2">
      <c r="A46" s="460" t="s">
        <v>92</v>
      </c>
      <c r="B46" s="9" t="s">
        <v>46</v>
      </c>
      <c r="C46" s="77">
        <f>96405235+210000</f>
        <v>96615235</v>
      </c>
    </row>
    <row r="47" spans="1:3" ht="12" customHeight="1" x14ac:dyDescent="0.2">
      <c r="A47" s="460" t="s">
        <v>93</v>
      </c>
      <c r="B47" s="8" t="s">
        <v>172</v>
      </c>
      <c r="C47" s="80">
        <f>18799021+28950</f>
        <v>18827971</v>
      </c>
    </row>
    <row r="48" spans="1:3" ht="12" customHeight="1" x14ac:dyDescent="0.2">
      <c r="A48" s="460" t="s">
        <v>94</v>
      </c>
      <c r="B48" s="8" t="s">
        <v>134</v>
      </c>
      <c r="C48" s="80">
        <f>85040141</f>
        <v>85040141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2300000</v>
      </c>
    </row>
    <row r="53" spans="1:3" ht="12" customHeight="1" x14ac:dyDescent="0.2">
      <c r="A53" s="460" t="s">
        <v>99</v>
      </c>
      <c r="B53" s="8" t="s">
        <v>176</v>
      </c>
      <c r="C53" s="80">
        <v>1690365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204473712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41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K44" sqref="K4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31677737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23643100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6734637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2848880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2848880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34526617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2722135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2722135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37248752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37248752</v>
      </c>
    </row>
    <row r="46" spans="1:3" ht="12" customHeight="1" x14ac:dyDescent="0.2">
      <c r="A46" s="460" t="s">
        <v>92</v>
      </c>
      <c r="B46" s="9" t="s">
        <v>46</v>
      </c>
      <c r="C46" s="77">
        <v>9772500</v>
      </c>
    </row>
    <row r="47" spans="1:3" ht="12" customHeight="1" x14ac:dyDescent="0.2">
      <c r="A47" s="460" t="s">
        <v>93</v>
      </c>
      <c r="B47" s="8" t="s">
        <v>172</v>
      </c>
      <c r="C47" s="80">
        <v>1905638</v>
      </c>
    </row>
    <row r="48" spans="1:3" ht="12" customHeight="1" x14ac:dyDescent="0.2">
      <c r="A48" s="460" t="s">
        <v>94</v>
      </c>
      <c r="B48" s="8" t="s">
        <v>134</v>
      </c>
      <c r="C48" s="80">
        <v>25570614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37248752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8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15136450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2515000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2001450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19499823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45504691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987298</v>
      </c>
    </row>
    <row r="39" spans="1:3" s="373" customFormat="1" ht="12" customHeight="1" x14ac:dyDescent="0.2">
      <c r="A39" s="461" t="s">
        <v>403</v>
      </c>
      <c r="B39" s="463" t="s">
        <v>2</v>
      </c>
      <c r="C39" s="317">
        <f>+'9.4.2. sz. mell ILMKS'!C39</f>
        <v>930546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43586847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65004514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63923513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30069914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6213633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27556217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83749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781001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300000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65004514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13866450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1731450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18229823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44574145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987298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43586847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62803968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61722967</v>
      </c>
    </row>
    <row r="46" spans="1:3" ht="12" customHeight="1" x14ac:dyDescent="0.2">
      <c r="A46" s="460" t="s">
        <v>92</v>
      </c>
      <c r="B46" s="9" t="s">
        <v>46</v>
      </c>
      <c r="C46" s="77">
        <f>30069914</f>
        <v>30069914</v>
      </c>
    </row>
    <row r="47" spans="1:3" ht="12" customHeight="1" x14ac:dyDescent="0.2">
      <c r="A47" s="460" t="s">
        <v>93</v>
      </c>
      <c r="B47" s="8" t="s">
        <v>172</v>
      </c>
      <c r="C47" s="80">
        <f>6213633</f>
        <v>6213633</v>
      </c>
    </row>
    <row r="48" spans="1:3" ht="12" customHeight="1" x14ac:dyDescent="0.2">
      <c r="A48" s="460" t="s">
        <v>94</v>
      </c>
      <c r="B48" s="8" t="s">
        <v>134</v>
      </c>
      <c r="C48" s="80">
        <f>24853420+586000</f>
        <v>25439420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781001</v>
      </c>
    </row>
    <row r="53" spans="1:3" ht="12" customHeight="1" x14ac:dyDescent="0.2">
      <c r="A53" s="460" t="s">
        <v>99</v>
      </c>
      <c r="B53" s="8" t="s">
        <v>176</v>
      </c>
      <c r="C53" s="80">
        <v>300000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62803968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1270000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1000000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270000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1270000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930546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>
        <v>930546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2200546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2200546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f>1270000+846797</f>
        <v>2116797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>
        <v>83749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2200546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513378887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209130731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'9.1.1. sz. mell ÖNK'!C10</f>
        <v>71626400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'9.1.1. sz. mell ÖNK'!C11</f>
        <v>197508581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'9.1.1. sz. mell ÖNK'!C12</f>
        <v>10858095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'9.1.1. sz. mell ÖNK'!C13</f>
        <v>24255080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208614036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'9.1.1. sz. mell ÖNK'!C20+'9.3. sz. mell GAM'!C23+'9.4. sz. mell ILMKS'!C23+'9.2.1. sz. mell HIV'!C23</f>
        <v>208614036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17831266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'9.1.1. sz. mell ÖNK'!C27+'9.4.1. sz. mell ILMKS'!C28</f>
        <v>17831266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SUM(C27:C34)+'9.2.1. sz. mell HIV'!C25</f>
        <v>118820710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'9.1.1. sz. mell ÖNK'!C33</f>
        <v>85245710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46079566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'9.1.1. sz. mell ÖNK'!C39+'9.2.1. sz. mell HIV'!C9+'9.3.1. sz. mell GAM'!C9+'9.4.1. sz. mell ILMKS'!C9+'9.5.1. sz. mell OVI'!C9</f>
        <v>2847941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'9.1.1. sz. mell ÖNK'!C40+'9.2.1. sz. mell HIV'!C10+'9.3.1. sz. mell GAM'!C10+'9.4.1. sz. mell ILMKS'!C10+'9.5.1. sz. mell OVI'!C10</f>
        <v>26691000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'9.1.1. sz. mell ÖNK'!C41+'9.2.1. sz. mell HIV'!C11+'9.3.1. sz. mell GAM'!C11+'9.4.1. sz. mell ILMKS'!C11+'9.5.1.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'9.1.1. sz. mell ÖNK'!C42+'9.2.1. sz. mell HIV'!C12+'9.3.1. sz. mell GAM'!C12+'9.4.1. sz. mell ILMKS'!C12+'9.5.1.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'9.1.1. sz. mell ÖNK'!C43+'9.2.1. sz. mell HIV'!C13+'9.3.1. sz. mell GAM'!C13+'9.4.1. sz. mell ILMKS'!C13+'9.5.1.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'9.1.1. sz. mell ÖNK'!C44+'9.2.1. sz. mell HIV'!C14+'9.3.1. sz. mell GAM'!C14+'9.4.1. sz. mell ILMKS'!C14+'9.5.1. sz. mell OVI'!C14</f>
        <v>6498068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'9.1.1. sz. mell ÖNK'!C45+'9.2.1. sz. mell HIV'!C15+'9.3.1. sz. mell GAM'!C15+'9.4.1. sz. mell ILMKS'!C15+'9.5.1.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'9.1.1. sz. mell ÖNK'!C46+'9.2.1. sz. mell HIV'!C16+'9.3.1. sz. mell GAM'!C16+'9.4.1. sz. mell ILMKS'!C16+'9.5.1.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'9.1.1. sz. mell ÖNK'!C47+'9.2.1. sz. mell HIV'!C17+'9.3.1. sz. mell GAM'!C17+'9.4.1. sz. mell ILMKS'!C17+'9.5.1.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'9.1.1. sz. mell ÖNK'!C48+'9.2.1. sz. mell HIV'!C18+'9.3.1. sz. mell GAM'!C18+'9.4.1. sz. mell ILMKS'!C18+'9.5.1.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'9.1.1. sz. mell ÖNK'!C49+'9.2.1. sz. mell HIV'!C19+'9.3.1. sz. mell GAM'!C19+'9.4.1. sz. mell ILMKS'!C19+'9.5.1. sz. mell OVI'!C19</f>
        <v>300000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'9.1.1. sz. mell ÖNK'!C51+'9.2.1. sz. mell HIV'!C32+'9.3.1. sz. mell GAM'!C31+'9.4.1. sz. mell ILMKS'!C31+'9.5.1. sz. mell OVI'!C31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'9.1.1. sz. mell ÖNK'!C52+'9.2.1. sz. mell HIV'!C33+'9.3.1. sz. mell GAM'!C32+'9.4.1. sz. mell ILMKS'!C32+'9.5.1. sz. mell OVI'!C32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'9.1.1. sz. mell ÖNK'!C53+'9.2.1. sz. mell HIV'!C34+'9.3.1. sz. mell GAM'!C33+'9.4.1. sz. mell ILMKS'!C33+'9.5.1. sz. mell OVI'!C33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962674705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>
        <f>'9.1.1. sz. mell ÖNK'!C69</f>
        <v>0</v>
      </c>
    </row>
    <row r="67" spans="1:3" s="424" customFormat="1" ht="12" customHeight="1" thickBot="1" x14ac:dyDescent="0.25">
      <c r="A67" s="16" t="s">
        <v>338</v>
      </c>
      <c r="B67" s="488" t="s">
        <v>453</v>
      </c>
      <c r="C67" s="301">
        <f>'9.1.1. sz. mell ÖNK'!C70</f>
        <v>0</v>
      </c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>
        <f>'9.1.1. sz. mell ÖNK'!C72</f>
        <v>0</v>
      </c>
    </row>
    <row r="70" spans="1:3" s="424" customFormat="1" ht="12" customHeight="1" x14ac:dyDescent="0.2">
      <c r="A70" s="14" t="s">
        <v>143</v>
      </c>
      <c r="B70" s="426" t="s">
        <v>304</v>
      </c>
      <c r="C70" s="301">
        <f>'9.1.1. sz. mell ÖNK'!C73</f>
        <v>0</v>
      </c>
    </row>
    <row r="71" spans="1:3" s="424" customFormat="1" ht="12" customHeight="1" x14ac:dyDescent="0.2">
      <c r="A71" s="14" t="s">
        <v>329</v>
      </c>
      <c r="B71" s="426" t="s">
        <v>305</v>
      </c>
      <c r="C71" s="301">
        <f>'9.1.1. sz. mell ÖNK'!C74</f>
        <v>0</v>
      </c>
    </row>
    <row r="72" spans="1:3" s="424" customFormat="1" ht="12" customHeight="1" thickBot="1" x14ac:dyDescent="0.25">
      <c r="A72" s="16" t="s">
        <v>330</v>
      </c>
      <c r="B72" s="293" t="s">
        <v>306</v>
      </c>
      <c r="C72" s="301">
        <f>'9.1.1. sz. mell ÖNK'!C75</f>
        <v>0</v>
      </c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951562419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ÖNK'!C77+'9.2.1. sz. mell HIV'!C39+'9.3.1. sz. mell GAM'!C38+'9.4.1. sz. mell ILMKS'!C38+'9.5.1. sz. mell OVI'!C38+'9.6.1. sz. mell CSSK'!C38</f>
        <v>951562419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ÖNK'!C78+'9.2.1. sz. mell HIV'!C40+'9.3.1. sz. mell GAM'!C39+'9.4.1. sz. mell ILMKS'!C39+'9.5.1.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>
        <f>'9.1.1. sz. mell ÖNK'!C80</f>
        <v>0</v>
      </c>
    </row>
    <row r="78" spans="1:3" s="424" customFormat="1" ht="12" customHeight="1" x14ac:dyDescent="0.2">
      <c r="A78" s="14" t="s">
        <v>334</v>
      </c>
      <c r="B78" s="426" t="s">
        <v>314</v>
      </c>
      <c r="C78" s="301">
        <f>'9.1.1. sz. mell ÖNK'!C81</f>
        <v>0</v>
      </c>
    </row>
    <row r="79" spans="1:3" s="424" customFormat="1" ht="12" customHeight="1" thickBot="1" x14ac:dyDescent="0.25">
      <c r="A79" s="16" t="s">
        <v>335</v>
      </c>
      <c r="B79" s="293" t="s">
        <v>315</v>
      </c>
      <c r="C79" s="301">
        <f>'9.1.1. sz. mell ÖNK'!C82</f>
        <v>0</v>
      </c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>
        <f>'9.1.1. sz. mell ÖNK'!C84</f>
        <v>0</v>
      </c>
    </row>
    <row r="82" spans="1:3" s="424" customFormat="1" ht="12" customHeight="1" x14ac:dyDescent="0.2">
      <c r="A82" s="430" t="s">
        <v>319</v>
      </c>
      <c r="B82" s="426" t="s">
        <v>320</v>
      </c>
      <c r="C82" s="301">
        <f>'9.1.1. sz. mell ÖNK'!C85</f>
        <v>0</v>
      </c>
    </row>
    <row r="83" spans="1:3" s="424" customFormat="1" ht="12" customHeight="1" x14ac:dyDescent="0.2">
      <c r="A83" s="430" t="s">
        <v>321</v>
      </c>
      <c r="B83" s="426" t="s">
        <v>322</v>
      </c>
      <c r="C83" s="301">
        <f>'9.1.1. sz. mell ÖNK'!C86</f>
        <v>0</v>
      </c>
    </row>
    <row r="84" spans="1:3" s="424" customFormat="1" ht="12" customHeight="1" thickBot="1" x14ac:dyDescent="0.25">
      <c r="A84" s="431" t="s">
        <v>323</v>
      </c>
      <c r="B84" s="293" t="s">
        <v>324</v>
      </c>
      <c r="C84" s="301">
        <f>'9.1.1. sz. mell ÖNK'!C87</f>
        <v>0</v>
      </c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951562419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1914237124</v>
      </c>
    </row>
    <row r="89" spans="1:3" s="424" customFormat="1" ht="29.2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1282151286</v>
      </c>
    </row>
    <row r="95" spans="1:3" ht="12" customHeight="1" x14ac:dyDescent="0.25">
      <c r="A95" s="17" t="s">
        <v>92</v>
      </c>
      <c r="B95" s="10" t="s">
        <v>46</v>
      </c>
      <c r="C95" s="297">
        <f>'9.1.1. sz. mell ÖNK'!C95+'9.2.1. sz. mell HIV'!C47+'9.3.1. sz. mell GAM'!C46+'9.4.1. sz. mell ILMKS'!C46+'9.5.1. sz. mell OVI'!C46+'9.6.1. sz. mell CSSK'!C46</f>
        <v>490013883</v>
      </c>
    </row>
    <row r="96" spans="1:3" ht="12" customHeight="1" x14ac:dyDescent="0.25">
      <c r="A96" s="14" t="s">
        <v>93</v>
      </c>
      <c r="B96" s="8" t="s">
        <v>172</v>
      </c>
      <c r="C96" s="298">
        <f>'9.1.1. sz. mell ÖNK'!C96+'9.2.1. sz. mell HIV'!C48+'9.3.1. sz. mell GAM'!C47+'9.4.1. sz. mell ILMKS'!C47+'9.5.1. sz. mell OVI'!C47+'9.6.1. sz. mell CSSK'!C47</f>
        <v>82734955</v>
      </c>
    </row>
    <row r="97" spans="1:3" ht="12" customHeight="1" x14ac:dyDescent="0.25">
      <c r="A97" s="14" t="s">
        <v>94</v>
      </c>
      <c r="B97" s="8" t="s">
        <v>134</v>
      </c>
      <c r="C97" s="298">
        <f>'9.1.1. sz. mell ÖNK'!C97+'9.2.1. sz. mell HIV'!C49+'9.3.1. sz. mell GAM'!C48+'9.4.1. sz. mell ILMKS'!C48+'9.5.1. sz. mell OVI'!C48+'9.6.1. sz. mell CSSK'!C48</f>
        <v>345816649</v>
      </c>
    </row>
    <row r="98" spans="1:3" ht="12" customHeight="1" x14ac:dyDescent="0.25">
      <c r="A98" s="14" t="s">
        <v>95</v>
      </c>
      <c r="B98" s="11" t="s">
        <v>173</v>
      </c>
      <c r="C98" s="298">
        <f>'9.1.1. sz. mell ÖNK'!C99+'9.2.1. sz. mell HIV'!C50+'9.3.1. sz. mell GAM'!C49+'9.4.1. sz. mell ILMKS'!C49+'9.5.1. sz. mell OVI'!C49+'9.6.1. sz. mell CSSK'!C49</f>
        <v>46198000</v>
      </c>
    </row>
    <row r="99" spans="1:3" ht="12" customHeight="1" x14ac:dyDescent="0.25">
      <c r="A99" s="14" t="s">
        <v>106</v>
      </c>
      <c r="B99" s="19" t="s">
        <v>174</v>
      </c>
      <c r="C99" s="298">
        <f>'9.1.1. sz. mell ÖNK'!C100+'9.2.1. sz. mell HIV'!C51+'9.3.1. sz. mell GAM'!C50+'9.4.1. sz. mell ILMKS'!C50+'9.5.1. sz. mell OVI'!C50+'9.6.1. sz. mell CSSK'!C50</f>
        <v>32633080</v>
      </c>
    </row>
    <row r="100" spans="1:3" ht="12" customHeight="1" x14ac:dyDescent="0.25">
      <c r="A100" s="14" t="s">
        <v>96</v>
      </c>
      <c r="B100" s="8" t="s">
        <v>434</v>
      </c>
      <c r="C100" s="300">
        <f>'9.1.1. sz. mell ÖNK'!C101</f>
        <v>1786000</v>
      </c>
    </row>
    <row r="101" spans="1:3" ht="12" customHeight="1" x14ac:dyDescent="0.25">
      <c r="A101" s="14" t="s">
        <v>97</v>
      </c>
      <c r="B101" s="151" t="s">
        <v>433</v>
      </c>
      <c r="C101" s="300">
        <f>'9.1.1.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'9.1.1. sz. mell ÖNK'!C112</f>
        <v>29247080</v>
      </c>
    </row>
    <row r="112" spans="1:3" ht="12" customHeight="1" x14ac:dyDescent="0.25">
      <c r="A112" s="14" t="s">
        <v>435</v>
      </c>
      <c r="B112" s="11" t="s">
        <v>47</v>
      </c>
      <c r="C112" s="300">
        <f>'9.1.1. sz. mell ÖNK'!C113</f>
        <v>284754719</v>
      </c>
    </row>
    <row r="113" spans="1:3" ht="12" customHeight="1" x14ac:dyDescent="0.25">
      <c r="A113" s="14" t="s">
        <v>436</v>
      </c>
      <c r="B113" s="8" t="s">
        <v>438</v>
      </c>
      <c r="C113" s="300">
        <f>'9.1.1.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'9.1.1. sz. mell ÖNK'!C115</f>
        <v>284754719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574898894</v>
      </c>
    </row>
    <row r="116" spans="1:3" ht="12" customHeight="1" x14ac:dyDescent="0.25">
      <c r="A116" s="15" t="s">
        <v>98</v>
      </c>
      <c r="B116" s="8" t="s">
        <v>214</v>
      </c>
      <c r="C116" s="299">
        <f>'9.1.1. sz. mell ÖNK'!C117+'9.2.1. sz. mell HIV'!C53+'9.3.1. sz. mell GAM'!C52+'9.4.1. sz. mell ILMKS'!C52+'9.5.1. sz. mell OVI'!C52+'9.6.1. sz. mell CSSK'!C52</f>
        <v>548607962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>
        <f>'9.1.1. sz. mell ÖNK'!C119+'9.2.1. sz. mell HIV'!C54+'9.3.1. sz. mell GAM'!C53+'9.4.1. sz. mell ILMKS'!C53+'9.5.1. sz. mell OVI'!C53+'9.6.1. sz. mell CSSK'!C53</f>
        <v>24990932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>
        <f>'9.1.1. sz. mell ÖNK'!C121+'9.2.1. sz. mell HIV'!C55+'9.3.1. sz. mell GAM'!C54+'9.4.1. sz. mell ILMKS'!C54+'9.5.1.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1857050180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5875000</v>
      </c>
    </row>
    <row r="131" spans="1:3" ht="12" customHeight="1" x14ac:dyDescent="0.25">
      <c r="A131" s="15" t="s">
        <v>256</v>
      </c>
      <c r="B131" s="12" t="s">
        <v>448</v>
      </c>
      <c r="C131" s="279">
        <f>'9.1.1. sz. mell ÖNK'!C132</f>
        <v>5875000</v>
      </c>
    </row>
    <row r="132" spans="1:3" ht="12" customHeight="1" x14ac:dyDescent="0.25">
      <c r="A132" s="15" t="s">
        <v>257</v>
      </c>
      <c r="B132" s="12" t="s">
        <v>449</v>
      </c>
      <c r="C132" s="279">
        <f>'9.1.1. sz. mell ÖNK'!C133</f>
        <v>0</v>
      </c>
    </row>
    <row r="133" spans="1:3" ht="12" customHeight="1" thickBot="1" x14ac:dyDescent="0.3">
      <c r="A133" s="13" t="s">
        <v>258</v>
      </c>
      <c r="B133" s="12" t="s">
        <v>450</v>
      </c>
      <c r="C133" s="279">
        <f>'9.1.1. sz. mell ÖNK'!C134</f>
        <v>0</v>
      </c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>
        <f>'9.1.1. sz. mell ÖNK'!C136</f>
        <v>0</v>
      </c>
    </row>
    <row r="136" spans="1:3" ht="12" customHeight="1" x14ac:dyDescent="0.25">
      <c r="A136" s="15" t="s">
        <v>86</v>
      </c>
      <c r="B136" s="9" t="s">
        <v>443</v>
      </c>
      <c r="C136" s="279">
        <f>'9.1.1. sz. mell ÖNK'!C137</f>
        <v>0</v>
      </c>
    </row>
    <row r="137" spans="1:3" ht="12" customHeight="1" x14ac:dyDescent="0.25">
      <c r="A137" s="15" t="s">
        <v>87</v>
      </c>
      <c r="B137" s="9" t="s">
        <v>444</v>
      </c>
      <c r="C137" s="279">
        <f>'9.1.1. sz. mell ÖNK'!C138</f>
        <v>0</v>
      </c>
    </row>
    <row r="138" spans="1:3" ht="12" customHeight="1" x14ac:dyDescent="0.25">
      <c r="A138" s="15" t="s">
        <v>164</v>
      </c>
      <c r="B138" s="9" t="s">
        <v>445</v>
      </c>
      <c r="C138" s="279">
        <f>'9.1.1. sz. mell ÖNK'!C139</f>
        <v>0</v>
      </c>
    </row>
    <row r="139" spans="1:3" ht="12" customHeight="1" x14ac:dyDescent="0.25">
      <c r="A139" s="15" t="s">
        <v>165</v>
      </c>
      <c r="B139" s="9" t="s">
        <v>446</v>
      </c>
      <c r="C139" s="279">
        <f>'9.1.1. sz. mell ÖNK'!C140</f>
        <v>0</v>
      </c>
    </row>
    <row r="140" spans="1:3" ht="12" customHeight="1" thickBot="1" x14ac:dyDescent="0.3">
      <c r="A140" s="13" t="s">
        <v>166</v>
      </c>
      <c r="B140" s="9" t="s">
        <v>447</v>
      </c>
      <c r="C140" s="279">
        <f>'9.1.1. sz. mell ÖNK'!C141</f>
        <v>0</v>
      </c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>
        <f>'9.1.1. sz. mell ÖNK'!C143</f>
        <v>0</v>
      </c>
    </row>
    <row r="143" spans="1:3" ht="12" customHeight="1" x14ac:dyDescent="0.25">
      <c r="A143" s="15" t="s">
        <v>89</v>
      </c>
      <c r="B143" s="9" t="s">
        <v>363</v>
      </c>
      <c r="C143" s="279">
        <f>'9.1.1.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24442347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1881492527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-894375475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927120072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dőlt"&amp;11 1.2. melléklet a .../2019.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76753150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29374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76723776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76753150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76154825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57094174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11185807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7874844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76753150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76753150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29374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76723776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76753150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76154825</v>
      </c>
    </row>
    <row r="46" spans="1:3" ht="12" customHeight="1" x14ac:dyDescent="0.2">
      <c r="A46" s="460" t="s">
        <v>92</v>
      </c>
      <c r="B46" s="9" t="s">
        <v>46</v>
      </c>
      <c r="C46" s="77">
        <f>54732174+2362000</f>
        <v>57094174</v>
      </c>
    </row>
    <row r="47" spans="1:3" ht="12" customHeight="1" x14ac:dyDescent="0.2">
      <c r="A47" s="460" t="s">
        <v>93</v>
      </c>
      <c r="B47" s="8" t="s">
        <v>172</v>
      </c>
      <c r="C47" s="80">
        <f>10772774+413033</f>
        <v>11185807</v>
      </c>
    </row>
    <row r="48" spans="1:3" ht="12" customHeight="1" x14ac:dyDescent="0.2">
      <c r="A48" s="460" t="s">
        <v>94</v>
      </c>
      <c r="B48" s="8" t="s">
        <v>134</v>
      </c>
      <c r="C48" s="80">
        <f>7387844+487000</f>
        <v>7874844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76753150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.../2019. (…....)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59" t="s">
        <v>402</v>
      </c>
      <c r="B38" s="672" t="s">
        <v>224</v>
      </c>
      <c r="C38" s="673">
        <f>'9.6.1. sz. mell CSSK'!C38+'9.6.2. sz. mell CSSK'!C38+'9.6.3. sz. mell CSSK'!C38</f>
        <v>69078</v>
      </c>
    </row>
    <row r="39" spans="1:3" s="373" customFormat="1" ht="12" customHeight="1" x14ac:dyDescent="0.2">
      <c r="A39" s="461" t="s">
        <v>403</v>
      </c>
      <c r="B39" s="463" t="s">
        <v>2</v>
      </c>
      <c r="C39" s="80">
        <f>'9.6.1. sz. mell CSSK'!C39+'9.6.2. sz. mell CSSK'!C39+'9.6.3. sz. mell CSSK'!C39</f>
        <v>0</v>
      </c>
    </row>
    <row r="40" spans="1:3" s="468" customFormat="1" ht="12" customHeight="1" thickBot="1" x14ac:dyDescent="0.25">
      <c r="A40" s="674" t="s">
        <v>404</v>
      </c>
      <c r="B40" s="148" t="s">
        <v>405</v>
      </c>
      <c r="C40" s="671">
        <f>'9.6.1. sz. mell CSSK'!C40+'9.6.2. sz. mell CSSK'!C40+'9.6.3. sz. mell CSSK'!C40</f>
        <v>64564243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43981382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8876369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7965570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v>69078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C57-C36-C38</f>
        <v>64564243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f>43981382</f>
        <v>43981382</v>
      </c>
    </row>
    <row r="47" spans="1:3" ht="12" customHeight="1" x14ac:dyDescent="0.2">
      <c r="A47" s="460" t="s">
        <v>93</v>
      </c>
      <c r="B47" s="8" t="s">
        <v>172</v>
      </c>
      <c r="C47" s="80">
        <f>8876369</f>
        <v>8876369</v>
      </c>
    </row>
    <row r="48" spans="1:3" ht="12" customHeight="1" x14ac:dyDescent="0.2">
      <c r="A48" s="460" t="s">
        <v>94</v>
      </c>
      <c r="B48" s="8" t="s">
        <v>134</v>
      </c>
      <c r="C48" s="80">
        <f>7965570</f>
        <v>7965570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11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A7" sqref="A7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701" t="s">
        <v>3</v>
      </c>
      <c r="B1" s="701"/>
      <c r="C1" s="701"/>
      <c r="D1" s="701"/>
      <c r="E1" s="701"/>
      <c r="F1" s="701"/>
      <c r="G1" s="701"/>
    </row>
    <row r="3" spans="1:7" s="171" customFormat="1" ht="27" customHeight="1" x14ac:dyDescent="0.25">
      <c r="A3" s="169" t="s">
        <v>196</v>
      </c>
      <c r="B3" s="170"/>
      <c r="C3" s="700" t="s">
        <v>637</v>
      </c>
      <c r="D3" s="700"/>
      <c r="E3" s="700"/>
      <c r="F3" s="700"/>
      <c r="G3" s="700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700" t="s">
        <v>578</v>
      </c>
      <c r="D5" s="700"/>
      <c r="E5" s="700"/>
      <c r="F5" s="700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719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579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/>
      <c r="D15" s="176"/>
      <c r="E15" s="176"/>
      <c r="F15" s="176"/>
      <c r="G15" s="269">
        <f t="shared" si="0"/>
        <v>0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0</v>
      </c>
      <c r="D16" s="272">
        <f>SUM(D10:D15)</f>
        <v>0</v>
      </c>
      <c r="E16" s="272">
        <f>SUM(E10:E15)</f>
        <v>0</v>
      </c>
      <c r="F16" s="272">
        <f>SUM(F10:F15)</f>
        <v>0</v>
      </c>
      <c r="G16" s="273">
        <f t="shared" si="0"/>
        <v>0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2019.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..../2019.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0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6245112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>
        <f>+'9.1.2. sz. mell ÖNK'!C20</f>
        <v>6245112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</f>
        <v>4754290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>
        <f>'9.1.2. sz. mell ÖNK'!C33</f>
        <v>4754290</v>
      </c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32947737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'9.3.2. sz. mell GAM'!C9+'9.4.2. sz. mell ILMKS'!C9</f>
        <v>2300000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'9.3.2. sz. mell GAM'!C10+'9.4.2. sz. mell ILMKS'!C10</f>
        <v>23643100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'9.3.2. sz. mell GAM'!C11+'9.4.2. sz. mell ILMKS'!C11</f>
        <v>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'9.3.2. sz. mell GAM'!C12+'9.4.2. sz. mell ILMKS'!C12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'9.3.2. sz. mell GAM'!C13+'9.4.2. sz. mell ILMKS'!C13</f>
        <v>0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'9.3.2. sz. mell GAM'!C14+'9.4.2. sz. mell ILMKS'!C14</f>
        <v>7004637</v>
      </c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43947139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43947139</v>
      </c>
    </row>
    <row r="89" spans="1:3" s="424" customFormat="1" ht="34.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50448700</v>
      </c>
    </row>
    <row r="95" spans="1:3" ht="12" customHeight="1" x14ac:dyDescent="0.25">
      <c r="A95" s="17" t="s">
        <v>92</v>
      </c>
      <c r="B95" s="10" t="s">
        <v>46</v>
      </c>
      <c r="C95" s="297">
        <f>'9.1.2. sz. mell ÖNK'!C95+'9.3.2. sz. mell GAM'!C46+'9.4.2. sz. mell ILMKS'!C46</f>
        <v>16520117</v>
      </c>
    </row>
    <row r="96" spans="1:3" ht="12" customHeight="1" x14ac:dyDescent="0.25">
      <c r="A96" s="14" t="s">
        <v>93</v>
      </c>
      <c r="B96" s="8" t="s">
        <v>172</v>
      </c>
      <c r="C96" s="298">
        <f>'9.1.2. sz. mell ÖNK'!C96+'9.3.2. sz. mell GAM'!C47+'9.4.2. sz. mell ILMKS'!C47</f>
        <v>3721423</v>
      </c>
    </row>
    <row r="97" spans="1:3" ht="12" customHeight="1" x14ac:dyDescent="0.25">
      <c r="A97" s="14" t="s">
        <v>94</v>
      </c>
      <c r="B97" s="8" t="s">
        <v>134</v>
      </c>
      <c r="C97" s="298">
        <f>'9.1.2. sz. mell ÖNK'!C97+'9.3.2. sz. mell GAM'!C48+'9.4.2. sz. mell ILMKS'!C48</f>
        <v>30123411</v>
      </c>
    </row>
    <row r="98" spans="1:3" ht="12" customHeight="1" x14ac:dyDescent="0.25">
      <c r="A98" s="14" t="s">
        <v>95</v>
      </c>
      <c r="B98" s="11" t="s">
        <v>173</v>
      </c>
      <c r="C98" s="298">
        <f>'9.1.2. sz. mell ÖNK'!C98+'9.3.2. sz. mell GAM'!C49+'9.4.2. sz. mell ILMKS'!C49</f>
        <v>0</v>
      </c>
    </row>
    <row r="99" spans="1:3" ht="12" customHeight="1" x14ac:dyDescent="0.25">
      <c r="A99" s="14" t="s">
        <v>106</v>
      </c>
      <c r="B99" s="19" t="s">
        <v>174</v>
      </c>
      <c r="C99" s="299">
        <f>'9.1.2. sz. mell ÖNK'!C99+'9.3.2. sz. mell GAM'!C50+'9.4.2. sz. mell ILMKS'!C50</f>
        <v>83749</v>
      </c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>
        <f>'9.1.2. sz. mell ÖNK'!C111</f>
        <v>0</v>
      </c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50448700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50448700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-6501561</v>
      </c>
      <c r="D159" s="438"/>
    </row>
    <row r="160" spans="1:9" ht="27.75" customHeight="1" thickBot="1" x14ac:dyDescent="0.3">
      <c r="A160" s="20" t="s">
        <v>16</v>
      </c>
      <c r="B160" s="27" t="s">
        <v>560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ÖNKÉNT VÁLLALT FELADATAINAK MÉRLEGE
&amp;R&amp;"Times New Roman CE,Félkövér dőlt"&amp;11 1.3. melléklet a .../2019.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5" t="s">
        <v>12</v>
      </c>
      <c r="B1" s="675"/>
      <c r="C1" s="675"/>
      <c r="D1" s="675"/>
      <c r="E1" s="675"/>
    </row>
    <row r="2" spans="1:5" ht="15.95" customHeight="1" thickBot="1" x14ac:dyDescent="0.3">
      <c r="A2" s="676" t="s">
        <v>145</v>
      </c>
      <c r="B2" s="676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2017. évi tény</v>
      </c>
      <c r="D3" s="413" t="str">
        <f>+CONCATENATE(LEFT(ÖSSZEFÜGGÉSEK!A5,4)-1,". évi várható")</f>
        <v>2018. évi várható</v>
      </c>
      <c r="E3" s="168" t="str">
        <f>+'1.1.sz.mell.'!C3</f>
        <v>2019.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518770</v>
      </c>
      <c r="D5" s="405">
        <v>543880</v>
      </c>
      <c r="E5" s="278">
        <v>543880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462563</v>
      </c>
      <c r="D12" s="405">
        <v>288004</v>
      </c>
      <c r="E12" s="278">
        <v>288004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449045</v>
      </c>
      <c r="D19" s="405">
        <v>319681</v>
      </c>
      <c r="E19" s="278">
        <v>319681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110488</v>
      </c>
      <c r="D26" s="412">
        <v>108475</v>
      </c>
      <c r="E26" s="456">
        <v>108475</v>
      </c>
    </row>
    <row r="27" spans="1:5" s="1" customFormat="1" ht="12" customHeight="1" x14ac:dyDescent="0.2">
      <c r="A27" s="15" t="s">
        <v>256</v>
      </c>
      <c r="B27" s="425" t="s">
        <v>543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544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545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546</v>
      </c>
      <c r="C30" s="406"/>
      <c r="D30" s="406"/>
      <c r="E30" s="298"/>
    </row>
    <row r="31" spans="1:5" s="1" customFormat="1" ht="12" customHeight="1" x14ac:dyDescent="0.2">
      <c r="A31" s="14" t="s">
        <v>540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541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542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100772</v>
      </c>
      <c r="D34" s="405">
        <v>93585</v>
      </c>
      <c r="E34" s="278">
        <v>93585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547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7799</v>
      </c>
      <c r="D46" s="405">
        <v>70643</v>
      </c>
      <c r="E46" s="278">
        <v>70643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175</v>
      </c>
      <c r="D57" s="405">
        <v>1810</v>
      </c>
      <c r="E57" s="278">
        <v>1810</v>
      </c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1649612</v>
      </c>
      <c r="D62" s="412">
        <f>+D5+D12+D19+D26+D34+D46+D52+D57</f>
        <v>1426078</v>
      </c>
      <c r="E62" s="456">
        <f>+E5+E12+E19+E26+E34+E46+E52+E57</f>
        <v>1426078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9998</v>
      </c>
      <c r="D63" s="405">
        <f>SUM(D64:D66)</f>
        <v>16400</v>
      </c>
      <c r="E63" s="278">
        <f>SUM(E64:E66)</f>
        <v>16400</v>
      </c>
    </row>
    <row r="64" spans="1:5" s="1" customFormat="1" ht="12" customHeight="1" x14ac:dyDescent="0.2">
      <c r="A64" s="15" t="s">
        <v>328</v>
      </c>
      <c r="B64" s="425" t="s">
        <v>298</v>
      </c>
      <c r="C64" s="409">
        <v>9998</v>
      </c>
      <c r="D64" s="409">
        <v>16400</v>
      </c>
      <c r="E64" s="282">
        <v>16400</v>
      </c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191553</v>
      </c>
      <c r="D72" s="405">
        <f>SUM(D73:D74)</f>
        <v>683022</v>
      </c>
      <c r="E72" s="278">
        <f>SUM(E73:E74)</f>
        <v>683022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190750</v>
      </c>
      <c r="D73" s="409">
        <v>683022</v>
      </c>
      <c r="E73" s="282">
        <v>683022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803</v>
      </c>
      <c r="D74" s="409"/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18607</v>
      </c>
      <c r="D75" s="405">
        <f>SUM(D76:D78)</f>
        <v>0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18607</v>
      </c>
      <c r="D76" s="409"/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220158</v>
      </c>
      <c r="D86" s="412">
        <f>+D63+D67+D72+D75+D79+D85+D84</f>
        <v>699422</v>
      </c>
      <c r="E86" s="456">
        <f>+E63+E67+E72+E75+E79+E85+E84</f>
        <v>699422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1869770</v>
      </c>
      <c r="D87" s="412">
        <f>+D62+D86</f>
        <v>2125500</v>
      </c>
      <c r="E87" s="456">
        <f>+E62+E86</f>
        <v>2125500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5" t="s">
        <v>44</v>
      </c>
      <c r="B89" s="675"/>
      <c r="C89" s="675"/>
      <c r="D89" s="675"/>
      <c r="E89" s="675"/>
    </row>
    <row r="90" spans="1:6" s="1" customFormat="1" ht="12" customHeight="1" thickBot="1" x14ac:dyDescent="0.25">
      <c r="A90" s="677" t="s">
        <v>146</v>
      </c>
      <c r="B90" s="677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2017. évi tény</v>
      </c>
      <c r="D91" s="24" t="str">
        <f>+D3</f>
        <v>2018. évi várható</v>
      </c>
      <c r="E91" s="168" t="str">
        <f>+E3</f>
        <v>2019.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1007871</v>
      </c>
      <c r="D93" s="404">
        <f>D94+D95+D96+D97+D98+D111</f>
        <v>1247451</v>
      </c>
      <c r="E93" s="498">
        <f>E94+E95+E96+E97+E98+E111</f>
        <v>1247451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520831</v>
      </c>
      <c r="D94" s="505">
        <v>534625</v>
      </c>
      <c r="E94" s="499">
        <v>534625</v>
      </c>
    </row>
    <row r="95" spans="1:6" ht="16.5" customHeight="1" x14ac:dyDescent="0.25">
      <c r="A95" s="14" t="s">
        <v>93</v>
      </c>
      <c r="B95" s="8" t="s">
        <v>172</v>
      </c>
      <c r="C95" s="406">
        <v>93648</v>
      </c>
      <c r="D95" s="406">
        <v>92088</v>
      </c>
      <c r="E95" s="279">
        <v>92088</v>
      </c>
    </row>
    <row r="96" spans="1:6" x14ac:dyDescent="0.25">
      <c r="A96" s="14" t="s">
        <v>94</v>
      </c>
      <c r="B96" s="8" t="s">
        <v>134</v>
      </c>
      <c r="C96" s="408">
        <v>351274</v>
      </c>
      <c r="D96" s="408">
        <v>507134</v>
      </c>
      <c r="E96" s="281">
        <v>507134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15812</v>
      </c>
      <c r="D97" s="408">
        <v>21950</v>
      </c>
      <c r="E97" s="281">
        <v>21950</v>
      </c>
    </row>
    <row r="98" spans="1:5" ht="12" customHeight="1" x14ac:dyDescent="0.25">
      <c r="A98" s="14" t="s">
        <v>106</v>
      </c>
      <c r="B98" s="19" t="s">
        <v>174</v>
      </c>
      <c r="C98" s="408">
        <v>26306</v>
      </c>
      <c r="D98" s="408">
        <v>21130</v>
      </c>
      <c r="E98" s="281">
        <v>21130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>
        <v>70524</v>
      </c>
      <c r="E111" s="279">
        <v>70524</v>
      </c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86734</v>
      </c>
      <c r="D114" s="507">
        <f>+D115+D117+D119</f>
        <v>854138</v>
      </c>
      <c r="E114" s="501">
        <f>+E115+E117+E119</f>
        <v>854138</v>
      </c>
    </row>
    <row r="115" spans="1:5" ht="12" customHeight="1" x14ac:dyDescent="0.25">
      <c r="A115" s="15" t="s">
        <v>98</v>
      </c>
      <c r="B115" s="8" t="s">
        <v>214</v>
      </c>
      <c r="C115" s="407">
        <v>70322</v>
      </c>
      <c r="D115" s="407">
        <v>839560</v>
      </c>
      <c r="E115" s="280">
        <v>839560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16412</v>
      </c>
      <c r="D117" s="406">
        <v>10509</v>
      </c>
      <c r="E117" s="279">
        <v>10509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>
        <v>0</v>
      </c>
      <c r="D119" s="406">
        <v>4069</v>
      </c>
      <c r="E119" s="279">
        <v>4069</v>
      </c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1094605</v>
      </c>
      <c r="D128" s="405">
        <f>+D93+D114</f>
        <v>2101589</v>
      </c>
      <c r="E128" s="278">
        <f>+E93+E114</f>
        <v>2101589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3532</v>
      </c>
      <c r="D129" s="405">
        <f>+D130+D131+D132</f>
        <v>4272</v>
      </c>
      <c r="E129" s="278">
        <f>+E130+E131+E132</f>
        <v>4272</v>
      </c>
    </row>
    <row r="130" spans="1:5" ht="12" customHeight="1" x14ac:dyDescent="0.25">
      <c r="A130" s="15" t="s">
        <v>256</v>
      </c>
      <c r="B130" s="12" t="s">
        <v>448</v>
      </c>
      <c r="C130" s="406">
        <v>3532</v>
      </c>
      <c r="D130" s="406">
        <v>4272</v>
      </c>
      <c r="E130" s="279">
        <v>4272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19096</v>
      </c>
      <c r="D140" s="412">
        <f>+D141+D142+D143+D144</f>
        <v>19640</v>
      </c>
      <c r="E140" s="456">
        <f>+E141+E142+E143+E144</f>
        <v>19640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18143</v>
      </c>
      <c r="D142" s="406">
        <v>18607</v>
      </c>
      <c r="E142" s="279">
        <v>18607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953</v>
      </c>
      <c r="D144" s="406">
        <v>1033</v>
      </c>
      <c r="E144" s="279">
        <v>1033</v>
      </c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22628</v>
      </c>
      <c r="D153" s="510">
        <f>+D129+D133+D140+D145+D151+D152</f>
        <v>23912</v>
      </c>
      <c r="E153" s="504">
        <f>+E129+E133+E140+E145+E151+E152</f>
        <v>23912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1117233</v>
      </c>
      <c r="D154" s="510">
        <f>+D128+D153</f>
        <v>2125501</v>
      </c>
      <c r="E154" s="504">
        <f>+E128+E153</f>
        <v>2125501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2019.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3" zoomScaleNormal="100" workbookViewId="0">
      <selection activeCell="F18" sqref="F18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06" t="s">
        <v>669</v>
      </c>
      <c r="B1" s="706"/>
      <c r="C1" s="706"/>
      <c r="D1" s="706"/>
      <c r="E1" s="706"/>
      <c r="F1" s="706"/>
      <c r="G1" s="706"/>
      <c r="H1" s="706"/>
      <c r="I1" s="706"/>
      <c r="J1" s="706"/>
    </row>
    <row r="2" spans="1:11" ht="15.75" customHeight="1" thickBot="1" x14ac:dyDescent="0.3">
      <c r="J2" s="590" t="s">
        <v>58</v>
      </c>
    </row>
    <row r="3" spans="1:11" s="591" customFormat="1" ht="15" customHeight="1" x14ac:dyDescent="0.2">
      <c r="A3" s="707" t="s">
        <v>66</v>
      </c>
      <c r="B3" s="709" t="s">
        <v>670</v>
      </c>
      <c r="C3" s="711" t="s">
        <v>671</v>
      </c>
      <c r="D3" s="707" t="s">
        <v>672</v>
      </c>
      <c r="E3" s="707" t="str">
        <f>+CONCATENATE(LEFT(ÖSSZEFÜGGÉSEK!A5,4)," előtti kifizetés")</f>
        <v>2019 előtti kifizetés</v>
      </c>
      <c r="F3" s="713" t="s">
        <v>673</v>
      </c>
      <c r="G3" s="714"/>
      <c r="H3" s="714"/>
      <c r="I3" s="715"/>
      <c r="J3" s="709" t="s">
        <v>48</v>
      </c>
    </row>
    <row r="4" spans="1:11" s="594" customFormat="1" ht="23.25" customHeight="1" thickBot="1" x14ac:dyDescent="0.25">
      <c r="A4" s="708"/>
      <c r="B4" s="710"/>
      <c r="C4" s="712"/>
      <c r="D4" s="708"/>
      <c r="E4" s="708"/>
      <c r="F4" s="592" t="str">
        <f>+CONCATENATE(LEFT(ÖSSZEFÜGGÉSEK!A5,4),".")</f>
        <v>2019.</v>
      </c>
      <c r="G4" s="592" t="str">
        <f>+CONCATENATE(LEFT(ÖSSZEFÜGGÉSEK!A5,4)+1,".")</f>
        <v>2020.</v>
      </c>
      <c r="H4" s="592" t="str">
        <f>+CONCATENATE(LEFT(ÖSSZEFÜGGÉSEK!A5,4)+2,".")</f>
        <v>2021.</v>
      </c>
      <c r="I4" s="593" t="str">
        <f>+CONCATENATE(LEFT(ÖSSZEFÜGGÉSEK!A5,4)+2,".",CHAR(10)," után")</f>
        <v>2021.
 után</v>
      </c>
      <c r="J4" s="710"/>
    </row>
    <row r="5" spans="1:11" s="600" customFormat="1" ht="12.95" customHeight="1" thickBot="1" x14ac:dyDescent="0.25">
      <c r="A5" s="595" t="s">
        <v>484</v>
      </c>
      <c r="B5" s="596" t="s">
        <v>485</v>
      </c>
      <c r="C5" s="597" t="s">
        <v>486</v>
      </c>
      <c r="D5" s="596" t="s">
        <v>488</v>
      </c>
      <c r="E5" s="596" t="s">
        <v>487</v>
      </c>
      <c r="F5" s="595" t="s">
        <v>674</v>
      </c>
      <c r="G5" s="597" t="s">
        <v>675</v>
      </c>
      <c r="H5" s="597" t="s">
        <v>676</v>
      </c>
      <c r="I5" s="598" t="s">
        <v>677</v>
      </c>
      <c r="J5" s="599" t="s">
        <v>678</v>
      </c>
    </row>
    <row r="6" spans="1:11" ht="24.75" customHeight="1" thickBot="1" x14ac:dyDescent="0.25">
      <c r="A6" s="601" t="s">
        <v>15</v>
      </c>
      <c r="B6" s="602" t="s">
        <v>679</v>
      </c>
      <c r="C6" s="603"/>
      <c r="D6" s="604"/>
      <c r="E6" s="605">
        <f>+E7+E8</f>
        <v>0</v>
      </c>
      <c r="F6" s="606">
        <f>+F7+F8</f>
        <v>0</v>
      </c>
      <c r="G6" s="607">
        <f>+G7+G8</f>
        <v>0</v>
      </c>
      <c r="H6" s="607">
        <f>+H7+H8</f>
        <v>0</v>
      </c>
      <c r="I6" s="608">
        <f>+I7+I8</f>
        <v>0</v>
      </c>
      <c r="J6" s="605">
        <f t="shared" ref="J6:J29" si="0">SUM(E6:I6)</f>
        <v>0</v>
      </c>
    </row>
    <row r="7" spans="1:11" ht="15.75" customHeight="1" x14ac:dyDescent="0.2">
      <c r="A7" s="609" t="s">
        <v>16</v>
      </c>
      <c r="B7" s="610" t="s">
        <v>680</v>
      </c>
      <c r="C7" s="611"/>
      <c r="D7" s="612"/>
      <c r="E7" s="613"/>
      <c r="F7" s="614"/>
      <c r="G7" s="25"/>
      <c r="H7" s="25"/>
      <c r="I7" s="615"/>
      <c r="J7" s="616">
        <f t="shared" si="0"/>
        <v>0</v>
      </c>
      <c r="K7" s="702" t="s">
        <v>681</v>
      </c>
    </row>
    <row r="8" spans="1:11" ht="15.75" customHeight="1" thickBot="1" x14ac:dyDescent="0.25">
      <c r="A8" s="609" t="s">
        <v>17</v>
      </c>
      <c r="B8" s="610" t="s">
        <v>680</v>
      </c>
      <c r="C8" s="611"/>
      <c r="D8" s="612"/>
      <c r="E8" s="613"/>
      <c r="F8" s="614"/>
      <c r="G8" s="25"/>
      <c r="H8" s="25"/>
      <c r="I8" s="615"/>
      <c r="J8" s="616">
        <f t="shared" si="0"/>
        <v>0</v>
      </c>
      <c r="K8" s="702"/>
    </row>
    <row r="9" spans="1:11" ht="26.1" customHeight="1" thickBot="1" x14ac:dyDescent="0.25">
      <c r="A9" s="601" t="s">
        <v>18</v>
      </c>
      <c r="B9" s="602" t="s">
        <v>682</v>
      </c>
      <c r="C9" s="617"/>
      <c r="D9" s="618"/>
      <c r="E9" s="605">
        <f>SUM(E10:E22)</f>
        <v>21257</v>
      </c>
      <c r="F9" s="606">
        <f>SUM(F10:F22)</f>
        <v>8397</v>
      </c>
      <c r="G9" s="607">
        <f>SUM(G10:G22)</f>
        <v>7550</v>
      </c>
      <c r="H9" s="607">
        <f>SUM(H10:H22)</f>
        <v>7456</v>
      </c>
      <c r="I9" s="608">
        <f>SUM(I10:I22)</f>
        <v>39663</v>
      </c>
      <c r="J9" s="605">
        <f t="shared" si="0"/>
        <v>84323</v>
      </c>
      <c r="K9" s="702"/>
    </row>
    <row r="10" spans="1:11" ht="20.100000000000001" customHeight="1" x14ac:dyDescent="0.2">
      <c r="A10" s="619" t="s">
        <v>19</v>
      </c>
      <c r="B10" s="665" t="s">
        <v>683</v>
      </c>
      <c r="C10" s="667" t="s">
        <v>684</v>
      </c>
      <c r="D10" s="669" t="s">
        <v>685</v>
      </c>
      <c r="E10" s="621">
        <f>500+504+2016+2016</f>
        <v>5036</v>
      </c>
      <c r="F10" s="622">
        <v>2016</v>
      </c>
      <c r="G10" s="623">
        <v>2016</v>
      </c>
      <c r="H10" s="623">
        <v>2016</v>
      </c>
      <c r="I10" s="624">
        <f>19140-2016-2016</f>
        <v>15108</v>
      </c>
      <c r="J10" s="625">
        <f t="shared" si="0"/>
        <v>26192</v>
      </c>
      <c r="K10" s="703"/>
    </row>
    <row r="11" spans="1:11" ht="20.100000000000001" customHeight="1" x14ac:dyDescent="0.2">
      <c r="A11" s="626"/>
      <c r="B11" s="610" t="s">
        <v>686</v>
      </c>
      <c r="C11" s="668"/>
      <c r="D11" s="620"/>
      <c r="E11" s="621">
        <f>2190+1042+958</f>
        <v>4190</v>
      </c>
      <c r="F11" s="627">
        <v>874</v>
      </c>
      <c r="G11" s="628">
        <v>790</v>
      </c>
      <c r="H11" s="628"/>
      <c r="I11" s="629"/>
      <c r="J11" s="630">
        <f t="shared" si="0"/>
        <v>5854</v>
      </c>
      <c r="K11" s="703"/>
    </row>
    <row r="12" spans="1:11" ht="20.100000000000001" customHeight="1" x14ac:dyDescent="0.2">
      <c r="A12" s="631" t="s">
        <v>20</v>
      </c>
      <c r="B12" s="610" t="s">
        <v>687</v>
      </c>
      <c r="C12" s="638" t="s">
        <v>684</v>
      </c>
      <c r="D12" s="632" t="s">
        <v>685</v>
      </c>
      <c r="E12" s="621">
        <f>129+516+516</f>
        <v>1161</v>
      </c>
      <c r="F12" s="614">
        <v>516</v>
      </c>
      <c r="G12" s="25">
        <v>516</v>
      </c>
      <c r="H12" s="25">
        <v>516</v>
      </c>
      <c r="I12" s="615">
        <f>5019-516-516</f>
        <v>3987</v>
      </c>
      <c r="J12" s="616">
        <f t="shared" si="0"/>
        <v>6696</v>
      </c>
      <c r="K12" s="703"/>
    </row>
    <row r="13" spans="1:11" ht="20.100000000000001" customHeight="1" x14ac:dyDescent="0.2">
      <c r="A13" s="631"/>
      <c r="B13" s="610" t="s">
        <v>688</v>
      </c>
      <c r="C13" s="638"/>
      <c r="D13" s="632"/>
      <c r="E13" s="621">
        <f>560+266+245</f>
        <v>1071</v>
      </c>
      <c r="F13" s="614">
        <v>223</v>
      </c>
      <c r="G13" s="25">
        <v>202</v>
      </c>
      <c r="H13" s="25"/>
      <c r="I13" s="615"/>
      <c r="J13" s="616">
        <f t="shared" si="0"/>
        <v>1496</v>
      </c>
      <c r="K13" s="703"/>
    </row>
    <row r="14" spans="1:11" ht="20.100000000000001" customHeight="1" x14ac:dyDescent="0.2">
      <c r="A14" s="631" t="s">
        <v>21</v>
      </c>
      <c r="B14" s="610" t="s">
        <v>689</v>
      </c>
      <c r="C14" s="638" t="s">
        <v>690</v>
      </c>
      <c r="D14" s="632" t="s">
        <v>691</v>
      </c>
      <c r="E14" s="621">
        <f>500+1000+1000+1000</f>
        <v>3500</v>
      </c>
      <c r="F14" s="614">
        <v>1000</v>
      </c>
      <c r="G14" s="25">
        <v>1000</v>
      </c>
      <c r="H14" s="25">
        <v>1000</v>
      </c>
      <c r="I14" s="615">
        <f>5498-1000-1000</f>
        <v>3498</v>
      </c>
      <c r="J14" s="616">
        <f t="shared" si="0"/>
        <v>9998</v>
      </c>
      <c r="K14" s="703"/>
    </row>
    <row r="15" spans="1:11" ht="20.100000000000001" customHeight="1" x14ac:dyDescent="0.2">
      <c r="A15" s="631"/>
      <c r="B15" s="610" t="s">
        <v>692</v>
      </c>
      <c r="C15" s="638"/>
      <c r="D15" s="632"/>
      <c r="E15" s="621">
        <f>711+303+266</f>
        <v>1280</v>
      </c>
      <c r="F15" s="614">
        <v>228</v>
      </c>
      <c r="G15" s="25">
        <v>191</v>
      </c>
      <c r="H15" s="25"/>
      <c r="I15" s="615"/>
      <c r="J15" s="616">
        <f t="shared" si="0"/>
        <v>1699</v>
      </c>
      <c r="K15" s="703"/>
    </row>
    <row r="16" spans="1:11" ht="20.100000000000001" customHeight="1" x14ac:dyDescent="0.2">
      <c r="A16" s="631" t="s">
        <v>22</v>
      </c>
      <c r="B16" s="610" t="s">
        <v>693</v>
      </c>
      <c r="C16" s="638" t="s">
        <v>690</v>
      </c>
      <c r="D16" s="632" t="s">
        <v>694</v>
      </c>
      <c r="E16" s="621">
        <f>432+880+953+1033</f>
        <v>3298</v>
      </c>
      <c r="F16" s="614">
        <v>1119</v>
      </c>
      <c r="G16" s="25">
        <v>493</v>
      </c>
      <c r="H16" s="25"/>
      <c r="I16" s="615"/>
      <c r="J16" s="616">
        <f t="shared" si="0"/>
        <v>4910</v>
      </c>
      <c r="K16" s="703"/>
    </row>
    <row r="17" spans="1:11" ht="20.100000000000001" customHeight="1" x14ac:dyDescent="0.2">
      <c r="A17" s="631"/>
      <c r="B17" s="610" t="s">
        <v>695</v>
      </c>
      <c r="C17" s="638"/>
      <c r="D17" s="632"/>
      <c r="E17" s="621">
        <f>255+328+223+175</f>
        <v>981</v>
      </c>
      <c r="F17" s="614">
        <v>89</v>
      </c>
      <c r="G17" s="25">
        <v>10</v>
      </c>
      <c r="H17" s="25"/>
      <c r="I17" s="615"/>
      <c r="J17" s="616">
        <f t="shared" si="0"/>
        <v>1080</v>
      </c>
      <c r="K17" s="703"/>
    </row>
    <row r="18" spans="1:11" ht="20.100000000000001" customHeight="1" x14ac:dyDescent="0.2">
      <c r="A18" s="631" t="s">
        <v>23</v>
      </c>
      <c r="B18" s="666" t="s">
        <v>696</v>
      </c>
      <c r="C18" s="638" t="s">
        <v>697</v>
      </c>
      <c r="D18" s="632" t="s">
        <v>698</v>
      </c>
      <c r="E18" s="621">
        <v>740</v>
      </c>
      <c r="F18" s="614">
        <v>740</v>
      </c>
      <c r="G18" s="25">
        <v>740</v>
      </c>
      <c r="H18" s="25">
        <v>740</v>
      </c>
      <c r="I18" s="615">
        <f>7778-740</f>
        <v>7038</v>
      </c>
      <c r="J18" s="616">
        <f t="shared" si="0"/>
        <v>9998</v>
      </c>
      <c r="K18" s="703"/>
    </row>
    <row r="19" spans="1:11" ht="20.100000000000001" customHeight="1" x14ac:dyDescent="0.2">
      <c r="A19" s="631"/>
      <c r="B19" s="666" t="s">
        <v>712</v>
      </c>
      <c r="C19" s="638"/>
      <c r="D19" s="632"/>
      <c r="E19" s="621"/>
      <c r="F19" s="614"/>
      <c r="G19" s="25"/>
      <c r="H19" s="25"/>
      <c r="I19" s="615"/>
      <c r="J19" s="616"/>
      <c r="K19" s="703"/>
    </row>
    <row r="20" spans="1:11" ht="24" customHeight="1" x14ac:dyDescent="0.2">
      <c r="A20" s="631" t="s">
        <v>24</v>
      </c>
      <c r="B20" s="666" t="s">
        <v>699</v>
      </c>
      <c r="C20" s="638" t="s">
        <v>700</v>
      </c>
      <c r="D20" s="632" t="s">
        <v>698</v>
      </c>
      <c r="E20" s="621"/>
      <c r="F20" s="614">
        <v>800</v>
      </c>
      <c r="G20" s="25">
        <v>800</v>
      </c>
      <c r="H20" s="25">
        <v>1600</v>
      </c>
      <c r="I20" s="615">
        <f>4100-800</f>
        <v>3300</v>
      </c>
      <c r="J20" s="616">
        <f t="shared" si="0"/>
        <v>6500</v>
      </c>
      <c r="K20" s="703"/>
    </row>
    <row r="21" spans="1:11" ht="24" customHeight="1" x14ac:dyDescent="0.2">
      <c r="A21" s="631"/>
      <c r="B21" s="666" t="s">
        <v>713</v>
      </c>
      <c r="C21" s="638"/>
      <c r="D21" s="632"/>
      <c r="E21" s="621"/>
      <c r="F21" s="614"/>
      <c r="G21" s="25"/>
      <c r="H21" s="25"/>
      <c r="I21" s="615"/>
      <c r="J21" s="616"/>
      <c r="K21" s="703"/>
    </row>
    <row r="22" spans="1:11" ht="27" customHeight="1" x14ac:dyDescent="0.2">
      <c r="A22" s="631">
        <v>11</v>
      </c>
      <c r="B22" s="666" t="s">
        <v>701</v>
      </c>
      <c r="C22" s="638" t="s">
        <v>700</v>
      </c>
      <c r="D22" s="632" t="s">
        <v>698</v>
      </c>
      <c r="E22" s="621"/>
      <c r="F22" s="614">
        <v>792</v>
      </c>
      <c r="G22" s="25">
        <v>792</v>
      </c>
      <c r="H22" s="25">
        <v>1584</v>
      </c>
      <c r="I22" s="615">
        <f>7524-792</f>
        <v>6732</v>
      </c>
      <c r="J22" s="616">
        <f t="shared" si="0"/>
        <v>9900</v>
      </c>
      <c r="K22" s="703"/>
    </row>
    <row r="23" spans="1:11" ht="27" customHeight="1" x14ac:dyDescent="0.2">
      <c r="A23" s="631"/>
      <c r="B23" s="666" t="s">
        <v>714</v>
      </c>
      <c r="C23" s="638"/>
      <c r="D23" s="632"/>
      <c r="E23" s="621"/>
      <c r="F23" s="614"/>
      <c r="G23" s="25"/>
      <c r="H23" s="25"/>
      <c r="I23" s="615"/>
      <c r="J23" s="616"/>
      <c r="K23" s="703"/>
    </row>
    <row r="24" spans="1:11" ht="20.100000000000001" customHeight="1" thickBot="1" x14ac:dyDescent="0.25">
      <c r="A24" s="633" t="s">
        <v>26</v>
      </c>
      <c r="B24" s="660" t="s">
        <v>702</v>
      </c>
      <c r="C24" s="659"/>
      <c r="D24" s="634"/>
      <c r="E24" s="670">
        <f>+E25</f>
        <v>0</v>
      </c>
      <c r="F24" s="662">
        <f>+F25</f>
        <v>0</v>
      </c>
      <c r="G24" s="663">
        <f>+G25</f>
        <v>0</v>
      </c>
      <c r="H24" s="663">
        <f>+H25</f>
        <v>0</v>
      </c>
      <c r="I24" s="664">
        <f>+I25</f>
        <v>0</v>
      </c>
      <c r="J24" s="661">
        <f t="shared" si="0"/>
        <v>0</v>
      </c>
      <c r="K24" s="703"/>
    </row>
    <row r="25" spans="1:11" ht="15.75" customHeight="1" thickBot="1" x14ac:dyDescent="0.25">
      <c r="A25" s="609" t="s">
        <v>27</v>
      </c>
      <c r="B25" s="610" t="s">
        <v>680</v>
      </c>
      <c r="C25" s="637"/>
      <c r="D25" s="638"/>
      <c r="E25" s="613"/>
      <c r="F25" s="614"/>
      <c r="G25" s="25"/>
      <c r="H25" s="25"/>
      <c r="I25" s="615"/>
      <c r="J25" s="616">
        <f t="shared" si="0"/>
        <v>0</v>
      </c>
      <c r="K25" s="702"/>
    </row>
    <row r="26" spans="1:11" ht="20.100000000000001" customHeight="1" thickBot="1" x14ac:dyDescent="0.25">
      <c r="A26" s="601" t="s">
        <v>28</v>
      </c>
      <c r="B26" s="602" t="s">
        <v>703</v>
      </c>
      <c r="C26" s="635"/>
      <c r="D26" s="636"/>
      <c r="E26" s="605">
        <f>+E27</f>
        <v>0</v>
      </c>
      <c r="F26" s="606">
        <f>+F27</f>
        <v>0</v>
      </c>
      <c r="G26" s="607">
        <f>+G27</f>
        <v>0</v>
      </c>
      <c r="H26" s="607">
        <f>+H27</f>
        <v>0</v>
      </c>
      <c r="I26" s="608">
        <f>+I27</f>
        <v>0</v>
      </c>
      <c r="J26" s="605">
        <f t="shared" si="0"/>
        <v>0</v>
      </c>
      <c r="K26" s="702"/>
    </row>
    <row r="27" spans="1:11" ht="15.75" customHeight="1" thickBot="1" x14ac:dyDescent="0.25">
      <c r="A27" s="639" t="s">
        <v>29</v>
      </c>
      <c r="B27" s="640" t="s">
        <v>680</v>
      </c>
      <c r="C27" s="641"/>
      <c r="D27" s="642"/>
      <c r="E27" s="643"/>
      <c r="F27" s="644"/>
      <c r="G27" s="26"/>
      <c r="H27" s="26"/>
      <c r="I27" s="645"/>
      <c r="J27" s="646">
        <f t="shared" si="0"/>
        <v>0</v>
      </c>
      <c r="K27" s="702"/>
    </row>
    <row r="28" spans="1:11" ht="20.100000000000001" customHeight="1" thickBot="1" x14ac:dyDescent="0.25">
      <c r="A28" s="601" t="s">
        <v>30</v>
      </c>
      <c r="B28" s="647" t="s">
        <v>704</v>
      </c>
      <c r="C28" s="635"/>
      <c r="D28" s="636"/>
      <c r="E28" s="605">
        <f>+E29</f>
        <v>0</v>
      </c>
      <c r="F28" s="606">
        <f>+F29</f>
        <v>0</v>
      </c>
      <c r="G28" s="607">
        <f>+G29</f>
        <v>0</v>
      </c>
      <c r="H28" s="607">
        <f>+H29</f>
        <v>0</v>
      </c>
      <c r="I28" s="608">
        <f>+I29</f>
        <v>0</v>
      </c>
      <c r="J28" s="605">
        <f t="shared" si="0"/>
        <v>0</v>
      </c>
      <c r="K28" s="702"/>
    </row>
    <row r="29" spans="1:11" ht="15.75" customHeight="1" thickBot="1" x14ac:dyDescent="0.25">
      <c r="A29" s="648" t="s">
        <v>31</v>
      </c>
      <c r="B29" s="649" t="s">
        <v>680</v>
      </c>
      <c r="C29" s="650"/>
      <c r="D29" s="651"/>
      <c r="E29" s="652"/>
      <c r="F29" s="653"/>
      <c r="G29" s="654"/>
      <c r="H29" s="654"/>
      <c r="I29" s="655"/>
      <c r="J29" s="656">
        <f t="shared" si="0"/>
        <v>0</v>
      </c>
      <c r="K29" s="702"/>
    </row>
    <row r="30" spans="1:11" ht="20.100000000000001" customHeight="1" thickBot="1" x14ac:dyDescent="0.25">
      <c r="A30" s="704" t="s">
        <v>705</v>
      </c>
      <c r="B30" s="705"/>
      <c r="C30" s="657"/>
      <c r="D30" s="658"/>
      <c r="E30" s="605">
        <f t="shared" ref="E30:J30" si="1">+E6+E9+E24+E26+E28</f>
        <v>21257</v>
      </c>
      <c r="F30" s="606">
        <f t="shared" si="1"/>
        <v>8397</v>
      </c>
      <c r="G30" s="607">
        <f t="shared" si="1"/>
        <v>7550</v>
      </c>
      <c r="H30" s="607">
        <f t="shared" si="1"/>
        <v>7456</v>
      </c>
      <c r="I30" s="608">
        <f t="shared" si="1"/>
        <v>39663</v>
      </c>
      <c r="J30" s="605">
        <f t="shared" si="1"/>
        <v>84323</v>
      </c>
      <c r="K30" s="702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7" t="s">
        <v>655</v>
      </c>
      <c r="C1" s="717"/>
      <c r="D1" s="717"/>
    </row>
    <row r="2" spans="1:4" s="74" customFormat="1" ht="16.5" thickBot="1" x14ac:dyDescent="0.3">
      <c r="A2" s="73"/>
      <c r="B2" s="379"/>
      <c r="D2" s="46" t="s">
        <v>562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3" t="s">
        <v>711</v>
      </c>
      <c r="C5" s="564">
        <v>276179</v>
      </c>
      <c r="D5" s="565">
        <v>276179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10410000</v>
      </c>
      <c r="D9" s="566">
        <f>D11+D10+D18</f>
        <v>5710000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9410000</v>
      </c>
      <c r="D11" s="566">
        <f>SUM(D12:D17)</f>
        <v>4710000</v>
      </c>
    </row>
    <row r="12" spans="1:4" ht="27.75" customHeight="1" x14ac:dyDescent="0.2">
      <c r="A12" s="78" t="s">
        <v>22</v>
      </c>
      <c r="B12" s="209" t="s">
        <v>706</v>
      </c>
      <c r="C12" s="140">
        <v>3990000</v>
      </c>
      <c r="D12" s="80">
        <v>1995000</v>
      </c>
    </row>
    <row r="13" spans="1:4" ht="27" customHeight="1" x14ac:dyDescent="0.2">
      <c r="A13" s="78" t="s">
        <v>23</v>
      </c>
      <c r="B13" s="209" t="s">
        <v>707</v>
      </c>
      <c r="C13" s="140">
        <v>2440000</v>
      </c>
      <c r="D13" s="80">
        <v>1220000</v>
      </c>
    </row>
    <row r="14" spans="1:4" ht="28.5" customHeight="1" x14ac:dyDescent="0.2">
      <c r="A14" s="78" t="s">
        <v>24</v>
      </c>
      <c r="B14" s="209" t="s">
        <v>708</v>
      </c>
      <c r="C14" s="140">
        <v>1760000</v>
      </c>
      <c r="D14" s="80">
        <v>880000</v>
      </c>
    </row>
    <row r="15" spans="1:4" ht="28.5" customHeight="1" x14ac:dyDescent="0.2">
      <c r="A15" s="78" t="s">
        <v>25</v>
      </c>
      <c r="B15" s="209" t="s">
        <v>614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709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710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7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10686179</v>
      </c>
      <c r="D33" s="215">
        <f>+D5+D6+D7+D8+D9+D19+D20+D21+D22+D23+D24+D25+D26+D27+D28+D29+D30+D31+D32</f>
        <v>5986179</v>
      </c>
    </row>
    <row r="34" spans="1:4" ht="8.25" customHeight="1" x14ac:dyDescent="0.2">
      <c r="A34" s="85"/>
      <c r="B34" s="716"/>
      <c r="C34" s="716"/>
      <c r="D34" s="716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24" t="str">
        <f>+CONCATENATE("Előirányzat-felhasználási terv",CHAR(10),LEFT(ÖSSZEFÜGGÉSEK!A5,4),". évre")</f>
        <v>Előirányzat-felhasználási terv
2019. évre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18" t="s">
        <v>53</v>
      </c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20"/>
    </row>
    <row r="5" spans="1:15" s="106" customFormat="1" ht="22.5" x14ac:dyDescent="0.2">
      <c r="A5" s="548" t="s">
        <v>16</v>
      </c>
      <c r="B5" s="549" t="s">
        <v>365</v>
      </c>
      <c r="C5" s="552">
        <f>O5/12</f>
        <v>42781573.916666664</v>
      </c>
      <c r="D5" s="550">
        <f t="shared" ref="D5:N5" si="0">$O$5/12</f>
        <v>42781573.916666664</v>
      </c>
      <c r="E5" s="550">
        <f t="shared" si="0"/>
        <v>42781573.916666664</v>
      </c>
      <c r="F5" s="550">
        <f t="shared" si="0"/>
        <v>42781573.916666664</v>
      </c>
      <c r="G5" s="550">
        <f t="shared" si="0"/>
        <v>42781573.916666664</v>
      </c>
      <c r="H5" s="550">
        <f t="shared" si="0"/>
        <v>42781573.916666664</v>
      </c>
      <c r="I5" s="550">
        <f t="shared" si="0"/>
        <v>42781573.916666664</v>
      </c>
      <c r="J5" s="550">
        <f t="shared" si="0"/>
        <v>42781573.916666664</v>
      </c>
      <c r="K5" s="550">
        <f t="shared" si="0"/>
        <v>42781573.916666664</v>
      </c>
      <c r="L5" s="550">
        <f t="shared" si="0"/>
        <v>42781573.916666664</v>
      </c>
      <c r="M5" s="550">
        <f t="shared" si="0"/>
        <v>42781573.916666664</v>
      </c>
      <c r="N5" s="550">
        <f t="shared" si="0"/>
        <v>42781573.916666664</v>
      </c>
      <c r="O5" s="551">
        <f>'9.1. sz. mell ÖNK'!C8</f>
        <v>513378887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16168943.916666666</v>
      </c>
      <c r="D6" s="109">
        <f>$O$6/12</f>
        <v>16168943.916666666</v>
      </c>
      <c r="E6" s="109">
        <f t="shared" ref="E6:N6" si="2">$O$6/12</f>
        <v>16168943.916666666</v>
      </c>
      <c r="F6" s="109">
        <f t="shared" si="2"/>
        <v>16168943.916666666</v>
      </c>
      <c r="G6" s="109">
        <f t="shared" si="2"/>
        <v>16168943.916666666</v>
      </c>
      <c r="H6" s="109">
        <f t="shared" si="2"/>
        <v>16168943.916666666</v>
      </c>
      <c r="I6" s="109">
        <f t="shared" si="2"/>
        <v>16168943.916666666</v>
      </c>
      <c r="J6" s="109">
        <f t="shared" si="2"/>
        <v>16168943.916666666</v>
      </c>
      <c r="K6" s="109">
        <f t="shared" si="2"/>
        <v>16168943.916666666</v>
      </c>
      <c r="L6" s="109">
        <f t="shared" si="2"/>
        <v>16168943.916666666</v>
      </c>
      <c r="M6" s="109">
        <f t="shared" si="2"/>
        <v>16168943.916666666</v>
      </c>
      <c r="N6" s="109">
        <f t="shared" si="2"/>
        <v>16168943.916666666</v>
      </c>
      <c r="O6" s="110">
        <f>'9.1. sz. mell ÖNK'!C15</f>
        <v>194027327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1459272.0833333333</v>
      </c>
      <c r="D7" s="112">
        <f>$O$7/12</f>
        <v>1459272.0833333333</v>
      </c>
      <c r="E7" s="112">
        <f t="shared" ref="E7:N7" si="3">$O$7/12</f>
        <v>1459272.0833333333</v>
      </c>
      <c r="F7" s="112">
        <f t="shared" si="3"/>
        <v>1459272.0833333333</v>
      </c>
      <c r="G7" s="112">
        <f t="shared" si="3"/>
        <v>1459272.0833333333</v>
      </c>
      <c r="H7" s="112">
        <f t="shared" si="3"/>
        <v>1459272.0833333333</v>
      </c>
      <c r="I7" s="112">
        <f t="shared" si="3"/>
        <v>1459272.0833333333</v>
      </c>
      <c r="J7" s="112">
        <f t="shared" si="3"/>
        <v>1459272.0833333333</v>
      </c>
      <c r="K7" s="112">
        <f t="shared" si="3"/>
        <v>1459272.0833333333</v>
      </c>
      <c r="L7" s="112">
        <f t="shared" si="3"/>
        <v>1459272.0833333333</v>
      </c>
      <c r="M7" s="112">
        <f t="shared" si="3"/>
        <v>1459272.0833333333</v>
      </c>
      <c r="N7" s="112">
        <f t="shared" si="3"/>
        <v>1459272.0833333333</v>
      </c>
      <c r="O7" s="110">
        <f>'9.1. sz. mell ÖNK'!C22</f>
        <v>17511265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10293750</v>
      </c>
      <c r="D8" s="109">
        <f>$O$8/12</f>
        <v>10293750</v>
      </c>
      <c r="E8" s="109">
        <f t="shared" ref="E8:N8" si="4">$O$8/12</f>
        <v>10293750</v>
      </c>
      <c r="F8" s="109">
        <f t="shared" si="4"/>
        <v>10293750</v>
      </c>
      <c r="G8" s="109">
        <f t="shared" si="4"/>
        <v>10293750</v>
      </c>
      <c r="H8" s="109">
        <f t="shared" si="4"/>
        <v>10293750</v>
      </c>
      <c r="I8" s="109">
        <f t="shared" si="4"/>
        <v>10293750</v>
      </c>
      <c r="J8" s="109">
        <f t="shared" si="4"/>
        <v>10293750</v>
      </c>
      <c r="K8" s="109">
        <f t="shared" si="4"/>
        <v>10293750</v>
      </c>
      <c r="L8" s="109">
        <f t="shared" si="4"/>
        <v>10293750</v>
      </c>
      <c r="M8" s="109">
        <f t="shared" si="4"/>
        <v>10293750</v>
      </c>
      <c r="N8" s="109">
        <f t="shared" si="4"/>
        <v>10293750</v>
      </c>
      <c r="O8" s="110">
        <f>'9.1. sz. mell ÖNK'!C29</f>
        <v>123525000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1163329.4166666667</v>
      </c>
      <c r="D9" s="109">
        <f>$O$9/12</f>
        <v>1163329.4166666667</v>
      </c>
      <c r="E9" s="109">
        <f t="shared" ref="E9:N9" si="5">$O$9/12</f>
        <v>1163329.4166666667</v>
      </c>
      <c r="F9" s="109">
        <f t="shared" si="5"/>
        <v>1163329.4166666667</v>
      </c>
      <c r="G9" s="109">
        <f t="shared" si="5"/>
        <v>1163329.4166666667</v>
      </c>
      <c r="H9" s="109">
        <f t="shared" si="5"/>
        <v>1163329.4166666667</v>
      </c>
      <c r="I9" s="109">
        <f t="shared" si="5"/>
        <v>1163329.4166666667</v>
      </c>
      <c r="J9" s="109">
        <f t="shared" si="5"/>
        <v>1163329.4166666667</v>
      </c>
      <c r="K9" s="109">
        <f t="shared" si="5"/>
        <v>1163329.4166666667</v>
      </c>
      <c r="L9" s="109">
        <f t="shared" si="5"/>
        <v>1163329.4166666667</v>
      </c>
      <c r="M9" s="109">
        <f t="shared" si="5"/>
        <v>1163329.4166666667</v>
      </c>
      <c r="N9" s="109">
        <f t="shared" si="5"/>
        <v>1163329.4166666667</v>
      </c>
      <c r="O9" s="110">
        <f>'9.1. sz. mell ÖNK'!C38</f>
        <v>13959953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4795020</v>
      </c>
      <c r="D10" s="109">
        <f>$O$10/12</f>
        <v>4795020</v>
      </c>
      <c r="E10" s="109">
        <f t="shared" ref="E10:N10" si="6">$O$10/12</f>
        <v>4795020</v>
      </c>
      <c r="F10" s="109">
        <f t="shared" si="6"/>
        <v>4795020</v>
      </c>
      <c r="G10" s="109">
        <f t="shared" si="6"/>
        <v>4795020</v>
      </c>
      <c r="H10" s="109">
        <f t="shared" si="6"/>
        <v>4795020</v>
      </c>
      <c r="I10" s="109">
        <f t="shared" si="6"/>
        <v>4795020</v>
      </c>
      <c r="J10" s="109">
        <f t="shared" si="6"/>
        <v>4795020</v>
      </c>
      <c r="K10" s="109">
        <f t="shared" si="6"/>
        <v>4795020</v>
      </c>
      <c r="L10" s="109">
        <f t="shared" si="6"/>
        <v>4795020</v>
      </c>
      <c r="M10" s="109">
        <f t="shared" si="6"/>
        <v>4795020</v>
      </c>
      <c r="N10" s="109">
        <f t="shared" si="6"/>
        <v>4795020</v>
      </c>
      <c r="O10" s="110">
        <f>'9.1. sz. mell ÖNK'!C50</f>
        <v>57540240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ÖNK'!C56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34166.666666666664</v>
      </c>
      <c r="D12" s="109">
        <f>$O$12/12</f>
        <v>34166.666666666664</v>
      </c>
      <c r="E12" s="109">
        <f t="shared" ref="E12:N12" si="7">$O$12/12</f>
        <v>34166.666666666664</v>
      </c>
      <c r="F12" s="109">
        <f t="shared" si="7"/>
        <v>34166.666666666664</v>
      </c>
      <c r="G12" s="109">
        <f t="shared" si="7"/>
        <v>34166.666666666664</v>
      </c>
      <c r="H12" s="109">
        <f t="shared" si="7"/>
        <v>34166.666666666664</v>
      </c>
      <c r="I12" s="109">
        <f t="shared" si="7"/>
        <v>34166.666666666664</v>
      </c>
      <c r="J12" s="109">
        <f t="shared" si="7"/>
        <v>34166.666666666664</v>
      </c>
      <c r="K12" s="109">
        <f t="shared" si="7"/>
        <v>34166.666666666664</v>
      </c>
      <c r="L12" s="109">
        <f t="shared" si="7"/>
        <v>34166.666666666664</v>
      </c>
      <c r="M12" s="109">
        <f t="shared" si="7"/>
        <v>34166.666666666664</v>
      </c>
      <c r="N12" s="109">
        <f t="shared" si="7"/>
        <v>34166.666666666664</v>
      </c>
      <c r="O12" s="110">
        <f>'9.1. sz. mell ÖNK'!C61</f>
        <v>410000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79175161.416666672</v>
      </c>
      <c r="D13" s="555">
        <f>$O$13/12</f>
        <v>79175161.416666672</v>
      </c>
      <c r="E13" s="555">
        <f t="shared" ref="E13:N13" si="8">$O$13/12</f>
        <v>79175161.416666672</v>
      </c>
      <c r="F13" s="555">
        <f t="shared" si="8"/>
        <v>79175161.416666672</v>
      </c>
      <c r="G13" s="555">
        <f t="shared" si="8"/>
        <v>79175161.416666672</v>
      </c>
      <c r="H13" s="555">
        <f t="shared" si="8"/>
        <v>79175161.416666672</v>
      </c>
      <c r="I13" s="555">
        <f t="shared" si="8"/>
        <v>79175161.416666672</v>
      </c>
      <c r="J13" s="555">
        <f t="shared" si="8"/>
        <v>79175161.416666672</v>
      </c>
      <c r="K13" s="555">
        <f t="shared" si="8"/>
        <v>79175161.416666672</v>
      </c>
      <c r="L13" s="555">
        <f t="shared" si="8"/>
        <v>79175161.416666672</v>
      </c>
      <c r="M13" s="555">
        <f t="shared" si="8"/>
        <v>79175161.416666672</v>
      </c>
      <c r="N13" s="555">
        <f t="shared" si="8"/>
        <v>79175161.416666672</v>
      </c>
      <c r="O13" s="556">
        <f>'9.1. sz. mell ÖNK'!C90</f>
        <v>950101937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155871217.41666669</v>
      </c>
      <c r="D14" s="114">
        <f t="shared" si="9"/>
        <v>155871217.41666669</v>
      </c>
      <c r="E14" s="114">
        <f t="shared" si="9"/>
        <v>155871217.41666669</v>
      </c>
      <c r="F14" s="114">
        <f t="shared" si="9"/>
        <v>155871217.41666669</v>
      </c>
      <c r="G14" s="114">
        <f t="shared" si="9"/>
        <v>155871217.41666669</v>
      </c>
      <c r="H14" s="114">
        <f t="shared" si="9"/>
        <v>155871217.41666669</v>
      </c>
      <c r="I14" s="114">
        <f t="shared" si="9"/>
        <v>155871217.41666669</v>
      </c>
      <c r="J14" s="114">
        <f t="shared" si="9"/>
        <v>155871217.41666669</v>
      </c>
      <c r="K14" s="114">
        <f t="shared" si="9"/>
        <v>155871217.41666669</v>
      </c>
      <c r="L14" s="114">
        <f t="shared" si="9"/>
        <v>155871217.41666669</v>
      </c>
      <c r="M14" s="114">
        <f t="shared" si="9"/>
        <v>155871217.41666669</v>
      </c>
      <c r="N14" s="114">
        <f t="shared" si="9"/>
        <v>155871217.41666669</v>
      </c>
      <c r="O14" s="115">
        <f>SUM(C14:N14)</f>
        <v>1870454609.0000007</v>
      </c>
    </row>
    <row r="15" spans="1:15" s="106" customFormat="1" ht="15" customHeight="1" thickBot="1" x14ac:dyDescent="0.25">
      <c r="A15" s="105" t="s">
        <v>26</v>
      </c>
      <c r="B15" s="721" t="s">
        <v>54</v>
      </c>
      <c r="C15" s="722"/>
      <c r="D15" s="722"/>
      <c r="E15" s="722"/>
      <c r="F15" s="722"/>
      <c r="G15" s="722"/>
      <c r="H15" s="722"/>
      <c r="I15" s="722"/>
      <c r="J15" s="722"/>
      <c r="K15" s="722"/>
      <c r="L15" s="722"/>
      <c r="M15" s="722"/>
      <c r="N15" s="722"/>
      <c r="O15" s="723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16493385.833333334</v>
      </c>
      <c r="D16" s="112">
        <f>$O$16/12</f>
        <v>16493385.833333334</v>
      </c>
      <c r="E16" s="112">
        <f t="shared" ref="E16:N16" si="10">$O$16/12</f>
        <v>16493385.833333334</v>
      </c>
      <c r="F16" s="112">
        <f t="shared" si="10"/>
        <v>16493385.833333334</v>
      </c>
      <c r="G16" s="112">
        <f t="shared" si="10"/>
        <v>16493385.833333334</v>
      </c>
      <c r="H16" s="112">
        <f t="shared" si="10"/>
        <v>16493385.833333334</v>
      </c>
      <c r="I16" s="112">
        <f t="shared" si="10"/>
        <v>16493385.833333334</v>
      </c>
      <c r="J16" s="112">
        <f t="shared" si="10"/>
        <v>16493385.833333334</v>
      </c>
      <c r="K16" s="112">
        <f t="shared" si="10"/>
        <v>16493385.833333334</v>
      </c>
      <c r="L16" s="112">
        <f t="shared" si="10"/>
        <v>16493385.833333334</v>
      </c>
      <c r="M16" s="112">
        <f t="shared" si="10"/>
        <v>16493385.833333334</v>
      </c>
      <c r="N16" s="112">
        <f t="shared" si="10"/>
        <v>16493385.833333334</v>
      </c>
      <c r="O16" s="551">
        <f>'9.1. sz. mell ÖNK'!C95</f>
        <v>197920630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2030535</v>
      </c>
      <c r="D17" s="109">
        <f>$O$17/12</f>
        <v>2030535</v>
      </c>
      <c r="E17" s="109">
        <f t="shared" ref="E17:M17" si="12">$O$17/12</f>
        <v>2030535</v>
      </c>
      <c r="F17" s="109">
        <f t="shared" si="12"/>
        <v>2030535</v>
      </c>
      <c r="G17" s="109">
        <f t="shared" si="12"/>
        <v>2030535</v>
      </c>
      <c r="H17" s="109">
        <f t="shared" si="12"/>
        <v>2030535</v>
      </c>
      <c r="I17" s="109">
        <f t="shared" si="12"/>
        <v>2030535</v>
      </c>
      <c r="J17" s="109">
        <f t="shared" si="12"/>
        <v>2030535</v>
      </c>
      <c r="K17" s="109">
        <f t="shared" si="12"/>
        <v>2030535</v>
      </c>
      <c r="L17" s="109">
        <f t="shared" si="12"/>
        <v>2030535</v>
      </c>
      <c r="M17" s="109">
        <f t="shared" si="12"/>
        <v>2030535</v>
      </c>
      <c r="N17" s="109">
        <f>$O$17/12</f>
        <v>2030535</v>
      </c>
      <c r="O17" s="110">
        <f>'9.1. sz. mell ÖNK'!C96</f>
        <v>24366420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17672472.916666668</v>
      </c>
      <c r="D18" s="109">
        <f>$O$18/12</f>
        <v>17672472.916666668</v>
      </c>
      <c r="E18" s="109">
        <f t="shared" ref="E18:N18" si="13">$O$18/12</f>
        <v>17672472.916666668</v>
      </c>
      <c r="F18" s="109">
        <f t="shared" si="13"/>
        <v>17672472.916666668</v>
      </c>
      <c r="G18" s="109">
        <f t="shared" si="13"/>
        <v>17672472.916666668</v>
      </c>
      <c r="H18" s="109">
        <f t="shared" si="13"/>
        <v>17672472.916666668</v>
      </c>
      <c r="I18" s="109">
        <f t="shared" si="13"/>
        <v>17672472.916666668</v>
      </c>
      <c r="J18" s="109">
        <f t="shared" si="13"/>
        <v>17672472.916666668</v>
      </c>
      <c r="K18" s="109">
        <f t="shared" si="13"/>
        <v>17672472.916666668</v>
      </c>
      <c r="L18" s="109">
        <f t="shared" si="13"/>
        <v>17672472.916666668</v>
      </c>
      <c r="M18" s="109">
        <f t="shared" si="13"/>
        <v>17672472.916666668</v>
      </c>
      <c r="N18" s="109">
        <f t="shared" si="13"/>
        <v>17672472.916666668</v>
      </c>
      <c r="O18" s="110">
        <f>'9.1. sz. mell ÖNK'!C97</f>
        <v>212069675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3849833.3333333335</v>
      </c>
      <c r="D19" s="109">
        <f>$O$19/12</f>
        <v>3849833.3333333335</v>
      </c>
      <c r="E19" s="109">
        <f t="shared" ref="E19:N19" si="14">$O$19/12</f>
        <v>3849833.3333333335</v>
      </c>
      <c r="F19" s="109">
        <f t="shared" si="14"/>
        <v>3849833.3333333335</v>
      </c>
      <c r="G19" s="109">
        <f t="shared" si="14"/>
        <v>3849833.3333333335</v>
      </c>
      <c r="H19" s="109">
        <f t="shared" si="14"/>
        <v>3849833.3333333335</v>
      </c>
      <c r="I19" s="109">
        <f t="shared" si="14"/>
        <v>3849833.3333333335</v>
      </c>
      <c r="J19" s="109">
        <f t="shared" si="14"/>
        <v>3849833.3333333335</v>
      </c>
      <c r="K19" s="109">
        <f t="shared" si="14"/>
        <v>3849833.3333333335</v>
      </c>
      <c r="L19" s="109">
        <f t="shared" si="14"/>
        <v>3849833.3333333335</v>
      </c>
      <c r="M19" s="109">
        <f t="shared" si="14"/>
        <v>3849833.3333333335</v>
      </c>
      <c r="N19" s="109">
        <f t="shared" si="14"/>
        <v>3849833.3333333335</v>
      </c>
      <c r="O19" s="110">
        <f>'9.1. sz. mell ÖNK'!C99</f>
        <v>46198000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2719423.3333333335</v>
      </c>
      <c r="D20" s="109">
        <f>$O$20/12</f>
        <v>2719423.3333333335</v>
      </c>
      <c r="E20" s="109">
        <f t="shared" ref="E20:N20" si="15">$O$20/12</f>
        <v>2719423.3333333335</v>
      </c>
      <c r="F20" s="109">
        <f t="shared" si="15"/>
        <v>2719423.3333333335</v>
      </c>
      <c r="G20" s="109">
        <f t="shared" si="15"/>
        <v>2719423.3333333335</v>
      </c>
      <c r="H20" s="109">
        <f t="shared" si="15"/>
        <v>2719423.3333333335</v>
      </c>
      <c r="I20" s="109">
        <f t="shared" si="15"/>
        <v>2719423.3333333335</v>
      </c>
      <c r="J20" s="109">
        <f t="shared" si="15"/>
        <v>2719423.3333333335</v>
      </c>
      <c r="K20" s="109">
        <f t="shared" si="15"/>
        <v>2719423.3333333335</v>
      </c>
      <c r="L20" s="109">
        <f t="shared" si="15"/>
        <v>2719423.3333333335</v>
      </c>
      <c r="M20" s="109">
        <f t="shared" si="15"/>
        <v>2719423.3333333335</v>
      </c>
      <c r="N20" s="109">
        <f t="shared" si="15"/>
        <v>2719423.3333333335</v>
      </c>
      <c r="O20" s="113">
        <f>'9.1. sz. mell ÖNK'!C100</f>
        <v>32633080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45093219.666666664</v>
      </c>
      <c r="D21" s="109">
        <f>$O$21/12</f>
        <v>45093219.666666664</v>
      </c>
      <c r="E21" s="109">
        <f t="shared" ref="E21:N21" si="16">$O$21/12</f>
        <v>45093219.666666664</v>
      </c>
      <c r="F21" s="109">
        <f t="shared" si="16"/>
        <v>45093219.666666664</v>
      </c>
      <c r="G21" s="109">
        <f t="shared" si="16"/>
        <v>45093219.666666664</v>
      </c>
      <c r="H21" s="109">
        <f t="shared" si="16"/>
        <v>45093219.666666664</v>
      </c>
      <c r="I21" s="109">
        <f t="shared" si="16"/>
        <v>45093219.666666664</v>
      </c>
      <c r="J21" s="109">
        <f t="shared" si="16"/>
        <v>45093219.666666664</v>
      </c>
      <c r="K21" s="109">
        <f t="shared" si="16"/>
        <v>45093219.666666664</v>
      </c>
      <c r="L21" s="109">
        <f t="shared" si="16"/>
        <v>45093219.666666664</v>
      </c>
      <c r="M21" s="109">
        <f t="shared" si="16"/>
        <v>45093219.666666664</v>
      </c>
      <c r="N21" s="109">
        <f t="shared" si="16"/>
        <v>45093219.666666664</v>
      </c>
      <c r="O21" s="113">
        <f>'9.1. sz. mell ÖNK'!C117</f>
        <v>541118636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1916713.9166666667</v>
      </c>
      <c r="D22" s="109">
        <f>$O$22/12</f>
        <v>1916713.9166666667</v>
      </c>
      <c r="E22" s="109">
        <f t="shared" ref="E22:N22" si="17">$O$22/12</f>
        <v>1916713.9166666667</v>
      </c>
      <c r="F22" s="109">
        <f t="shared" si="17"/>
        <v>1916713.9166666667</v>
      </c>
      <c r="G22" s="109">
        <f t="shared" si="17"/>
        <v>1916713.9166666667</v>
      </c>
      <c r="H22" s="109">
        <f t="shared" si="17"/>
        <v>1916713.9166666667</v>
      </c>
      <c r="I22" s="109">
        <f t="shared" si="17"/>
        <v>1916713.9166666667</v>
      </c>
      <c r="J22" s="109">
        <f t="shared" si="17"/>
        <v>1916713.9166666667</v>
      </c>
      <c r="K22" s="109">
        <f t="shared" si="17"/>
        <v>1916713.9166666667</v>
      </c>
      <c r="L22" s="109">
        <f t="shared" si="17"/>
        <v>1916713.9166666667</v>
      </c>
      <c r="M22" s="109">
        <f t="shared" si="17"/>
        <v>1916713.9166666667</v>
      </c>
      <c r="N22" s="109">
        <f t="shared" si="17"/>
        <v>1916713.9166666667</v>
      </c>
      <c r="O22" s="113">
        <f>'9.1. sz. mell ÖNK'!C119</f>
        <v>23000567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108333.33333333333</v>
      </c>
      <c r="D23" s="109">
        <f>$O$23/12</f>
        <v>108333.33333333333</v>
      </c>
      <c r="E23" s="109">
        <f t="shared" ref="E23:N23" si="18">$O$23/12</f>
        <v>108333.33333333333</v>
      </c>
      <c r="F23" s="109">
        <f t="shared" si="18"/>
        <v>108333.33333333333</v>
      </c>
      <c r="G23" s="109">
        <f t="shared" si="18"/>
        <v>108333.33333333333</v>
      </c>
      <c r="H23" s="109">
        <f t="shared" si="18"/>
        <v>108333.33333333333</v>
      </c>
      <c r="I23" s="109">
        <f t="shared" si="18"/>
        <v>108333.33333333333</v>
      </c>
      <c r="J23" s="109">
        <f t="shared" si="18"/>
        <v>108333.33333333333</v>
      </c>
      <c r="K23" s="109">
        <f t="shared" si="18"/>
        <v>108333.33333333333</v>
      </c>
      <c r="L23" s="109">
        <f t="shared" si="18"/>
        <v>108333.33333333333</v>
      </c>
      <c r="M23" s="109">
        <f t="shared" si="18"/>
        <v>108333.33333333333</v>
      </c>
      <c r="N23" s="109">
        <f t="shared" si="18"/>
        <v>108333.33333333333</v>
      </c>
      <c r="O23" s="113">
        <f>'9.1. sz. mell ÖNK'!C121</f>
        <v>1300000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42257740.166666664</v>
      </c>
      <c r="D24" s="109">
        <f>$O$24/12</f>
        <v>42257740.166666664</v>
      </c>
      <c r="E24" s="109">
        <f t="shared" ref="E24:N24" si="19">$O$24/12</f>
        <v>42257740.166666664</v>
      </c>
      <c r="F24" s="109">
        <f t="shared" si="19"/>
        <v>42257740.166666664</v>
      </c>
      <c r="G24" s="109">
        <f t="shared" si="19"/>
        <v>42257740.166666664</v>
      </c>
      <c r="H24" s="109">
        <f t="shared" si="19"/>
        <v>42257740.166666664</v>
      </c>
      <c r="I24" s="109">
        <f t="shared" si="19"/>
        <v>42257740.166666664</v>
      </c>
      <c r="J24" s="109">
        <f t="shared" si="19"/>
        <v>42257740.166666664</v>
      </c>
      <c r="K24" s="109">
        <f t="shared" si="19"/>
        <v>42257740.166666664</v>
      </c>
      <c r="L24" s="109">
        <f t="shared" si="19"/>
        <v>42257740.166666664</v>
      </c>
      <c r="M24" s="109">
        <f t="shared" si="19"/>
        <v>42257740.166666664</v>
      </c>
      <c r="N24" s="109">
        <f t="shared" si="19"/>
        <v>42257740.166666664</v>
      </c>
      <c r="O24" s="113">
        <f>'9.1. sz. mell ÖNK'!C156</f>
        <v>507092882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132141657.5</v>
      </c>
      <c r="D25" s="114">
        <f t="shared" si="20"/>
        <v>132141657.5</v>
      </c>
      <c r="E25" s="114">
        <f t="shared" si="20"/>
        <v>132141657.5</v>
      </c>
      <c r="F25" s="114">
        <f t="shared" si="20"/>
        <v>132141657.5</v>
      </c>
      <c r="G25" s="114">
        <f t="shared" si="20"/>
        <v>132141657.5</v>
      </c>
      <c r="H25" s="114">
        <f t="shared" si="20"/>
        <v>132141657.5</v>
      </c>
      <c r="I25" s="114">
        <f t="shared" si="20"/>
        <v>132141657.5</v>
      </c>
      <c r="J25" s="114">
        <f t="shared" si="20"/>
        <v>132141657.5</v>
      </c>
      <c r="K25" s="114">
        <f t="shared" si="20"/>
        <v>132141657.5</v>
      </c>
      <c r="L25" s="114">
        <f t="shared" si="20"/>
        <v>132141657.5</v>
      </c>
      <c r="M25" s="114">
        <f t="shared" si="20"/>
        <v>132141657.5</v>
      </c>
      <c r="N25" s="114">
        <f t="shared" si="20"/>
        <v>132141657.5</v>
      </c>
      <c r="O25" s="115">
        <f>SUM(C25:N25)</f>
        <v>1585699890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23729559.916666687</v>
      </c>
      <c r="D26" s="118">
        <f t="shared" si="21"/>
        <v>23729559.916666687</v>
      </c>
      <c r="E26" s="118">
        <f t="shared" si="21"/>
        <v>23729559.916666687</v>
      </c>
      <c r="F26" s="118">
        <f t="shared" si="21"/>
        <v>23729559.916666687</v>
      </c>
      <c r="G26" s="118">
        <f t="shared" si="21"/>
        <v>23729559.916666687</v>
      </c>
      <c r="H26" s="118">
        <f t="shared" si="21"/>
        <v>23729559.916666687</v>
      </c>
      <c r="I26" s="118">
        <f t="shared" si="21"/>
        <v>23729559.916666687</v>
      </c>
      <c r="J26" s="118">
        <f t="shared" si="21"/>
        <v>23729559.916666687</v>
      </c>
      <c r="K26" s="118">
        <f t="shared" si="21"/>
        <v>23729559.916666687</v>
      </c>
      <c r="L26" s="118">
        <f t="shared" si="21"/>
        <v>23729559.916666687</v>
      </c>
      <c r="M26" s="118">
        <f t="shared" si="21"/>
        <v>23729559.916666687</v>
      </c>
      <c r="N26" s="118">
        <f t="shared" si="21"/>
        <v>23729559.916666687</v>
      </c>
      <c r="O26" s="119">
        <f t="shared" si="21"/>
        <v>284754719.00000072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zoomScaleNormal="100" workbookViewId="0">
      <selection activeCell="E33" sqref="E33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26" t="str">
        <f>+CONCATENATE("A ",LEFT(ÖSSZEFÜGGÉSEK!A5,4),". évi általános működés és ágazati feladatok támogatásának alakulása jogcímenként")</f>
        <v>A 2019. évi általános működés és ágazati feladatok támogatásának alakulása jogcímenként</v>
      </c>
      <c r="B1" s="726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2019.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580</v>
      </c>
      <c r="B5" s="414">
        <v>108820800</v>
      </c>
    </row>
    <row r="6" spans="1:3" ht="12.75" customHeight="1" x14ac:dyDescent="0.2">
      <c r="A6" s="125" t="s">
        <v>581</v>
      </c>
      <c r="B6" s="414">
        <f>SUM(B7:B10)</f>
        <v>39399839</v>
      </c>
    </row>
    <row r="7" spans="1:3" x14ac:dyDescent="0.2">
      <c r="A7" s="125" t="s">
        <v>582</v>
      </c>
      <c r="B7" s="559">
        <v>14167190</v>
      </c>
    </row>
    <row r="8" spans="1:3" x14ac:dyDescent="0.2">
      <c r="A8" s="125" t="s">
        <v>583</v>
      </c>
      <c r="B8" s="559">
        <v>14112000</v>
      </c>
    </row>
    <row r="9" spans="1:3" x14ac:dyDescent="0.2">
      <c r="A9" s="125" t="s">
        <v>584</v>
      </c>
      <c r="B9" s="559">
        <v>2076969</v>
      </c>
    </row>
    <row r="10" spans="1:3" x14ac:dyDescent="0.2">
      <c r="A10" s="125" t="s">
        <v>585</v>
      </c>
      <c r="B10" s="559">
        <v>9043680</v>
      </c>
    </row>
    <row r="11" spans="1:3" x14ac:dyDescent="0.2">
      <c r="A11" s="125" t="s">
        <v>586</v>
      </c>
      <c r="B11" s="414">
        <v>18819000</v>
      </c>
    </row>
    <row r="12" spans="1:3" x14ac:dyDescent="0.2">
      <c r="A12" s="125" t="s">
        <v>587</v>
      </c>
      <c r="B12" s="414">
        <v>17850</v>
      </c>
    </row>
    <row r="13" spans="1:3" x14ac:dyDescent="0.2">
      <c r="A13" s="125" t="s">
        <v>656</v>
      </c>
      <c r="B13" s="414">
        <v>0</v>
      </c>
    </row>
    <row r="14" spans="1:3" x14ac:dyDescent="0.2">
      <c r="A14" s="125" t="s">
        <v>605</v>
      </c>
      <c r="B14" s="414">
        <v>36625642</v>
      </c>
    </row>
    <row r="15" spans="1:3" x14ac:dyDescent="0.2">
      <c r="A15" s="125" t="s">
        <v>615</v>
      </c>
      <c r="B15" s="414">
        <v>1681600</v>
      </c>
    </row>
    <row r="16" spans="1:3" x14ac:dyDescent="0.2">
      <c r="A16" s="557" t="s">
        <v>588</v>
      </c>
      <c r="B16" s="560">
        <f>B5+B6+B11+B13+B12+B14+B15</f>
        <v>205364731</v>
      </c>
      <c r="C16" s="727" t="s">
        <v>515</v>
      </c>
    </row>
    <row r="17" spans="1:3" x14ac:dyDescent="0.2">
      <c r="A17" s="125"/>
      <c r="B17" s="414"/>
      <c r="C17" s="727"/>
    </row>
    <row r="18" spans="1:3" x14ac:dyDescent="0.2">
      <c r="A18" s="125" t="s">
        <v>591</v>
      </c>
      <c r="B18" s="558">
        <f>SUM(B19:B24)</f>
        <v>57064767</v>
      </c>
      <c r="C18" s="727"/>
    </row>
    <row r="19" spans="1:3" x14ac:dyDescent="0.2">
      <c r="A19" s="125" t="s">
        <v>616</v>
      </c>
      <c r="B19" s="559">
        <v>27686167</v>
      </c>
      <c r="C19" s="727"/>
    </row>
    <row r="20" spans="1:3" x14ac:dyDescent="0.2">
      <c r="A20" s="125" t="s">
        <v>617</v>
      </c>
      <c r="B20" s="559">
        <v>8820000</v>
      </c>
      <c r="C20" s="727"/>
    </row>
    <row r="21" spans="1:3" x14ac:dyDescent="0.2">
      <c r="A21" s="125" t="s">
        <v>618</v>
      </c>
      <c r="B21" s="559">
        <v>13114500</v>
      </c>
      <c r="C21" s="727"/>
    </row>
    <row r="22" spans="1:3" x14ac:dyDescent="0.2">
      <c r="A22" s="125" t="s">
        <v>619</v>
      </c>
      <c r="B22" s="559">
        <v>4410000</v>
      </c>
      <c r="C22" s="727"/>
    </row>
    <row r="23" spans="1:3" ht="22.5" x14ac:dyDescent="0.2">
      <c r="A23" s="125" t="s">
        <v>620</v>
      </c>
      <c r="B23" s="559">
        <v>1586800</v>
      </c>
      <c r="C23" s="727"/>
    </row>
    <row r="24" spans="1:3" ht="22.5" x14ac:dyDescent="0.2">
      <c r="A24" s="125" t="s">
        <v>657</v>
      </c>
      <c r="B24" s="559">
        <v>1447300</v>
      </c>
      <c r="C24" s="727"/>
    </row>
    <row r="25" spans="1:3" x14ac:dyDescent="0.2">
      <c r="A25" s="125" t="s">
        <v>592</v>
      </c>
      <c r="B25" s="558">
        <f>SUM(B26:B27)</f>
        <v>10129600</v>
      </c>
      <c r="C25" s="727"/>
    </row>
    <row r="26" spans="1:3" x14ac:dyDescent="0.2">
      <c r="A26" s="125" t="s">
        <v>589</v>
      </c>
      <c r="B26" s="414">
        <v>6882933</v>
      </c>
      <c r="C26" s="727"/>
    </row>
    <row r="27" spans="1:3" x14ac:dyDescent="0.2">
      <c r="A27" s="125" t="s">
        <v>590</v>
      </c>
      <c r="B27" s="414">
        <v>3246667</v>
      </c>
      <c r="C27" s="727"/>
    </row>
    <row r="28" spans="1:3" x14ac:dyDescent="0.2">
      <c r="A28" s="557" t="s">
        <v>593</v>
      </c>
      <c r="B28" s="560">
        <f>B18+B25</f>
        <v>67194367</v>
      </c>
      <c r="C28" s="727"/>
    </row>
    <row r="29" spans="1:3" x14ac:dyDescent="0.2">
      <c r="A29" s="557"/>
      <c r="B29" s="414"/>
      <c r="C29" s="727"/>
    </row>
    <row r="30" spans="1:3" x14ac:dyDescent="0.2">
      <c r="A30" s="125" t="s">
        <v>594</v>
      </c>
      <c r="B30" s="414">
        <v>52999793</v>
      </c>
      <c r="C30" s="727"/>
    </row>
    <row r="31" spans="1:3" x14ac:dyDescent="0.2">
      <c r="A31" s="125" t="s">
        <v>595</v>
      </c>
      <c r="B31" s="414">
        <v>13600000</v>
      </c>
      <c r="C31" s="727"/>
    </row>
    <row r="32" spans="1:3" x14ac:dyDescent="0.2">
      <c r="A32" s="125" t="s">
        <v>596</v>
      </c>
      <c r="B32" s="414">
        <v>23100000</v>
      </c>
      <c r="C32" s="727"/>
    </row>
    <row r="33" spans="1:3" x14ac:dyDescent="0.2">
      <c r="A33" s="125" t="s">
        <v>658</v>
      </c>
      <c r="B33" s="414">
        <v>11357578</v>
      </c>
      <c r="C33" s="727"/>
    </row>
    <row r="34" spans="1:3" x14ac:dyDescent="0.2">
      <c r="A34" s="125" t="s">
        <v>597</v>
      </c>
      <c r="B34" s="414">
        <v>27949000</v>
      </c>
      <c r="C34" s="727"/>
    </row>
    <row r="35" spans="1:3" x14ac:dyDescent="0.2">
      <c r="A35" s="125" t="s">
        <v>598</v>
      </c>
      <c r="B35" s="414">
        <v>44522587</v>
      </c>
      <c r="C35" s="727"/>
    </row>
    <row r="36" spans="1:3" x14ac:dyDescent="0.2">
      <c r="A36" s="126" t="s">
        <v>599</v>
      </c>
      <c r="B36" s="414">
        <v>5491950</v>
      </c>
      <c r="C36" s="727"/>
    </row>
    <row r="37" spans="1:3" ht="21" x14ac:dyDescent="0.2">
      <c r="A37" s="561" t="s">
        <v>600</v>
      </c>
      <c r="B37" s="560">
        <f>SUM(B30:B36)</f>
        <v>179020908</v>
      </c>
      <c r="C37" s="727"/>
    </row>
    <row r="38" spans="1:3" x14ac:dyDescent="0.2">
      <c r="A38" s="126"/>
      <c r="B38" s="414"/>
      <c r="C38" s="727"/>
    </row>
    <row r="39" spans="1:3" ht="21.75" thickBot="1" x14ac:dyDescent="0.25">
      <c r="A39" s="561" t="s">
        <v>601</v>
      </c>
      <c r="B39" s="560">
        <v>8433700</v>
      </c>
      <c r="C39" s="727"/>
    </row>
    <row r="40" spans="1:3" s="53" customFormat="1" ht="19.5" customHeight="1" thickBot="1" x14ac:dyDescent="0.25">
      <c r="A40" s="36" t="s">
        <v>50</v>
      </c>
      <c r="B40" s="52">
        <f>B16+B28+B37+B39</f>
        <v>460013706</v>
      </c>
      <c r="C40" s="727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D10" sqref="D10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31" t="str">
        <f>+CONCATENATE("K I M U T A T Á S",CHAR(10),"a ",LEFT(ÖSSZEFÜGGÉSEK!A5,4),". évben céljelleggel juttatott támogatásokról")</f>
        <v>K I M U T A T Á S
a 2019. évben céljelleggel juttatott támogatásokról</v>
      </c>
      <c r="B1" s="731"/>
      <c r="C1" s="731"/>
      <c r="D1" s="731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28" t="s">
        <v>562</v>
      </c>
      <c r="D3" s="728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80" t="s">
        <v>638</v>
      </c>
      <c r="C5" s="584" t="s">
        <v>566</v>
      </c>
      <c r="D5" s="29">
        <v>19000000</v>
      </c>
    </row>
    <row r="6" spans="1:4" ht="17.25" customHeight="1" x14ac:dyDescent="0.2">
      <c r="A6" s="218" t="s">
        <v>16</v>
      </c>
      <c r="B6" s="582" t="s">
        <v>640</v>
      </c>
      <c r="C6" s="30" t="s">
        <v>566</v>
      </c>
      <c r="D6" s="583">
        <v>1000000</v>
      </c>
    </row>
    <row r="7" spans="1:4" ht="15.95" customHeight="1" x14ac:dyDescent="0.2">
      <c r="A7" s="218" t="s">
        <v>17</v>
      </c>
      <c r="B7" s="30" t="s">
        <v>564</v>
      </c>
      <c r="C7" s="30" t="s">
        <v>566</v>
      </c>
      <c r="D7" s="31">
        <v>200000</v>
      </c>
    </row>
    <row r="8" spans="1:4" ht="15.95" customHeight="1" x14ac:dyDescent="0.2">
      <c r="A8" s="218" t="s">
        <v>18</v>
      </c>
      <c r="B8" s="30" t="s">
        <v>565</v>
      </c>
      <c r="C8" s="30" t="s">
        <v>566</v>
      </c>
      <c r="D8" s="31">
        <v>300000</v>
      </c>
    </row>
    <row r="9" spans="1:4" ht="15.95" customHeight="1" x14ac:dyDescent="0.2">
      <c r="A9" s="218" t="s">
        <v>19</v>
      </c>
      <c r="B9" s="30" t="s">
        <v>567</v>
      </c>
      <c r="C9" s="540" t="s">
        <v>566</v>
      </c>
      <c r="D9" s="31">
        <v>3000000</v>
      </c>
    </row>
    <row r="10" spans="1:4" ht="15.95" customHeight="1" x14ac:dyDescent="0.2">
      <c r="A10" s="218" t="s">
        <v>20</v>
      </c>
      <c r="B10" s="30" t="s">
        <v>641</v>
      </c>
      <c r="C10" s="540" t="s">
        <v>566</v>
      </c>
      <c r="D10" s="31">
        <v>250000</v>
      </c>
    </row>
    <row r="11" spans="1:4" ht="15.95" customHeight="1" x14ac:dyDescent="0.2">
      <c r="A11" s="218" t="s">
        <v>21</v>
      </c>
      <c r="B11" s="30" t="s">
        <v>621</v>
      </c>
      <c r="C11" s="540" t="s">
        <v>566</v>
      </c>
      <c r="D11" s="31">
        <v>50000</v>
      </c>
    </row>
    <row r="12" spans="1:4" ht="15.95" customHeight="1" x14ac:dyDescent="0.2">
      <c r="A12" s="218" t="s">
        <v>22</v>
      </c>
      <c r="B12" s="30" t="s">
        <v>622</v>
      </c>
      <c r="C12" s="540" t="s">
        <v>566</v>
      </c>
      <c r="D12" s="31">
        <v>100000</v>
      </c>
    </row>
    <row r="13" spans="1:4" ht="15.95" customHeight="1" x14ac:dyDescent="0.2">
      <c r="A13" s="218" t="s">
        <v>23</v>
      </c>
      <c r="B13" s="30" t="s">
        <v>623</v>
      </c>
      <c r="C13" s="540" t="s">
        <v>566</v>
      </c>
      <c r="D13" s="31">
        <v>100000</v>
      </c>
    </row>
    <row r="14" spans="1:4" ht="15.95" customHeight="1" x14ac:dyDescent="0.2">
      <c r="A14" s="218" t="s">
        <v>24</v>
      </c>
      <c r="B14" s="30" t="s">
        <v>624</v>
      </c>
      <c r="C14" s="540" t="s">
        <v>566</v>
      </c>
      <c r="D14" s="31">
        <v>1000000</v>
      </c>
    </row>
    <row r="15" spans="1:4" ht="15.95" customHeight="1" x14ac:dyDescent="0.2">
      <c r="A15" s="218" t="s">
        <v>25</v>
      </c>
      <c r="B15" s="30" t="s">
        <v>636</v>
      </c>
      <c r="C15" s="30" t="s">
        <v>625</v>
      </c>
      <c r="D15" s="31">
        <v>1300000</v>
      </c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639</v>
      </c>
      <c r="B38" s="32"/>
      <c r="C38" s="32"/>
      <c r="D38" s="88"/>
    </row>
    <row r="39" spans="1:4" ht="15.95" customHeight="1" thickBot="1" x14ac:dyDescent="0.25">
      <c r="A39" s="729" t="s">
        <v>50</v>
      </c>
      <c r="B39" s="730"/>
      <c r="C39" s="220"/>
      <c r="D39" s="221">
        <f>SUM(D5:D38)</f>
        <v>26300000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B16" sqref="B16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5" t="s">
        <v>12</v>
      </c>
      <c r="B1" s="675"/>
      <c r="C1" s="675"/>
      <c r="D1" s="675"/>
      <c r="E1" s="675"/>
    </row>
    <row r="2" spans="1:5" ht="15.95" customHeight="1" thickBot="1" x14ac:dyDescent="0.3">
      <c r="A2" s="676" t="s">
        <v>145</v>
      </c>
      <c r="B2" s="676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2020. évi</v>
      </c>
      <c r="D3" s="413" t="str">
        <f>+CONCATENATE(LEFT(ÖSSZEFÜGGÉSEK!A5,4)+2,". évi")</f>
        <v>2021. évi</v>
      </c>
      <c r="E3" s="168" t="str">
        <f>+CONCATENATE(LEFT(ÖSSZEFÜGGÉSEK!A5,4)+3,". évi")</f>
        <v>2022.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543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544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545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546</v>
      </c>
      <c r="C12" s="406"/>
      <c r="D12" s="406"/>
      <c r="E12" s="279"/>
    </row>
    <row r="13" spans="1:5" s="424" customFormat="1" ht="12" customHeight="1" x14ac:dyDescent="0.2">
      <c r="A13" s="14" t="s">
        <v>540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541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542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5" t="s">
        <v>44</v>
      </c>
      <c r="B24" s="675"/>
      <c r="C24" s="675"/>
      <c r="D24" s="675"/>
      <c r="E24" s="675"/>
    </row>
    <row r="25" spans="1:6" s="424" customFormat="1" ht="12" customHeight="1" thickBot="1" x14ac:dyDescent="0.25">
      <c r="A25" s="677" t="s">
        <v>146</v>
      </c>
      <c r="B25" s="677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2020. évi</v>
      </c>
      <c r="D26" s="24" t="str">
        <f>+D3</f>
        <v>2021. évi</v>
      </c>
      <c r="E26" s="168" t="str">
        <f>+E3</f>
        <v>2022.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2019.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68" zoomScaleNormal="130" zoomScaleSheetLayoutView="100" workbookViewId="0">
      <selection activeCell="C94" sqref="C94:C15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5" t="s">
        <v>12</v>
      </c>
      <c r="B1" s="675"/>
      <c r="C1" s="675"/>
    </row>
    <row r="2" spans="1:3" ht="15.95" customHeight="1" thickBot="1" x14ac:dyDescent="0.3">
      <c r="A2" s="676" t="s">
        <v>145</v>
      </c>
      <c r="B2" s="676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0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/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</f>
        <v>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/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0</v>
      </c>
    </row>
    <row r="36" spans="1:3" s="424" customFormat="1" ht="12" customHeight="1" x14ac:dyDescent="0.2">
      <c r="A36" s="15" t="s">
        <v>85</v>
      </c>
      <c r="B36" s="425" t="s">
        <v>265</v>
      </c>
      <c r="C36" s="299"/>
    </row>
    <row r="37" spans="1:3" s="424" customFormat="1" ht="12" customHeight="1" x14ac:dyDescent="0.2">
      <c r="A37" s="14" t="s">
        <v>86</v>
      </c>
      <c r="B37" s="426" t="s">
        <v>266</v>
      </c>
      <c r="C37" s="298"/>
    </row>
    <row r="38" spans="1:3" s="424" customFormat="1" ht="12" customHeight="1" x14ac:dyDescent="0.2">
      <c r="A38" s="14" t="s">
        <v>87</v>
      </c>
      <c r="B38" s="426" t="s">
        <v>267</v>
      </c>
      <c r="C38" s="298"/>
    </row>
    <row r="39" spans="1:3" s="424" customFormat="1" ht="12" customHeight="1" x14ac:dyDescent="0.2">
      <c r="A39" s="14" t="s">
        <v>164</v>
      </c>
      <c r="B39" s="426" t="s">
        <v>268</v>
      </c>
      <c r="C39" s="298"/>
    </row>
    <row r="40" spans="1:3" s="424" customFormat="1" ht="12" customHeight="1" x14ac:dyDescent="0.2">
      <c r="A40" s="14" t="s">
        <v>165</v>
      </c>
      <c r="B40" s="426" t="s">
        <v>269</v>
      </c>
      <c r="C40" s="298"/>
    </row>
    <row r="41" spans="1:3" s="424" customFormat="1" ht="12" customHeight="1" x14ac:dyDescent="0.2">
      <c r="A41" s="14" t="s">
        <v>166</v>
      </c>
      <c r="B41" s="426" t="s">
        <v>270</v>
      </c>
      <c r="C41" s="298"/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0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0</v>
      </c>
    </row>
    <row r="89" spans="1:3" s="424" customFormat="1" ht="24.75" customHeight="1" x14ac:dyDescent="0.2">
      <c r="A89" s="5"/>
      <c r="B89" s="6"/>
      <c r="C89" s="303"/>
    </row>
    <row r="90" spans="1:3" ht="16.5" customHeight="1" x14ac:dyDescent="0.25">
      <c r="A90" s="675" t="s">
        <v>44</v>
      </c>
      <c r="B90" s="675"/>
      <c r="C90" s="675"/>
    </row>
    <row r="91" spans="1:3" s="434" customFormat="1" ht="16.5" customHeight="1" thickBot="1" x14ac:dyDescent="0.3">
      <c r="A91" s="677" t="s">
        <v>146</v>
      </c>
      <c r="B91" s="677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27173582</v>
      </c>
    </row>
    <row r="95" spans="1:3" ht="12" customHeight="1" x14ac:dyDescent="0.25">
      <c r="A95" s="17" t="s">
        <v>92</v>
      </c>
      <c r="B95" s="10" t="s">
        <v>46</v>
      </c>
      <c r="C95" s="297">
        <f>'9.2.3. sz. mell HIV'!C47</f>
        <v>21737643</v>
      </c>
    </row>
    <row r="96" spans="1:3" ht="12" customHeight="1" x14ac:dyDescent="0.25">
      <c r="A96" s="14" t="s">
        <v>93</v>
      </c>
      <c r="B96" s="8" t="s">
        <v>172</v>
      </c>
      <c r="C96" s="298">
        <f>'9.2.3. sz. mell HIV'!C48</f>
        <v>4235939</v>
      </c>
    </row>
    <row r="97" spans="1:3" ht="12" customHeight="1" x14ac:dyDescent="0.25">
      <c r="A97" s="14" t="s">
        <v>94</v>
      </c>
      <c r="B97" s="8" t="s">
        <v>134</v>
      </c>
      <c r="C97" s="299">
        <f>'9.2.3. sz. mell HIV'!C49</f>
        <v>1200000</v>
      </c>
    </row>
    <row r="98" spans="1:3" ht="12" customHeight="1" x14ac:dyDescent="0.25">
      <c r="A98" s="14" t="s">
        <v>95</v>
      </c>
      <c r="B98" s="11" t="s">
        <v>173</v>
      </c>
      <c r="C98" s="300"/>
    </row>
    <row r="99" spans="1:3" ht="12" customHeight="1" x14ac:dyDescent="0.25">
      <c r="A99" s="14" t="s">
        <v>106</v>
      </c>
      <c r="B99" s="19" t="s">
        <v>174</v>
      </c>
      <c r="C99" s="300"/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/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27173582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27173582</v>
      </c>
    </row>
    <row r="156" spans="1:9" ht="7.5" customHeight="1" x14ac:dyDescent="0.25"/>
    <row r="157" spans="1:9" x14ac:dyDescent="0.25">
      <c r="A157" s="678" t="s">
        <v>364</v>
      </c>
      <c r="B157" s="678"/>
      <c r="C157" s="678"/>
    </row>
    <row r="158" spans="1:9" ht="15" customHeight="1" thickBot="1" x14ac:dyDescent="0.3">
      <c r="A158" s="676" t="s">
        <v>147</v>
      </c>
      <c r="B158" s="676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-27173582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ÁLLAMIGAZGATÁSI FELADATAINAK MÉRLEGE
&amp;R&amp;"Times New Roman CE,Félkövér dőlt"&amp;11 1.4. melléklet a .../2019.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tabSelected="1" view="pageBreakPreview" zoomScaleNormal="115" zoomScaleSheetLayoutView="100" workbookViewId="0">
      <selection activeCell="C6" sqref="C6:E32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81" t="str">
        <f>+CONCATENATE("2.1. melléklet a .../",LEFT(ÖSSZEFÜGGÉSEK!A5,4),". (.....) önkormányzati rendelethez")</f>
        <v>2.1. melléklet a .../2019. (.....) önkormányzati rendelethez</v>
      </c>
    </row>
    <row r="2" spans="1:8" ht="14.25" thickBot="1" x14ac:dyDescent="0.25">
      <c r="E2" s="320" t="s">
        <v>562</v>
      </c>
      <c r="F2" s="681"/>
    </row>
    <row r="3" spans="1:8" ht="18" customHeight="1" thickBot="1" x14ac:dyDescent="0.25">
      <c r="A3" s="679" t="s">
        <v>66</v>
      </c>
      <c r="B3" s="321" t="s">
        <v>53</v>
      </c>
      <c r="C3" s="322"/>
      <c r="D3" s="321" t="s">
        <v>54</v>
      </c>
      <c r="E3" s="323"/>
      <c r="F3" s="681"/>
    </row>
    <row r="4" spans="1:8" s="324" customFormat="1" ht="35.25" customHeight="1" thickBot="1" x14ac:dyDescent="0.25">
      <c r="A4" s="680"/>
      <c r="B4" s="198" t="s">
        <v>59</v>
      </c>
      <c r="C4" s="199" t="str">
        <f>+'1.1.sz.mell.'!C3</f>
        <v>2019. évi előirányzat</v>
      </c>
      <c r="D4" s="198" t="s">
        <v>59</v>
      </c>
      <c r="E4" s="55" t="str">
        <f>+C4</f>
        <v>2019. évi előirányzat</v>
      </c>
      <c r="F4" s="681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1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513378887</v>
      </c>
      <c r="D6" s="331" t="s">
        <v>60</v>
      </c>
      <c r="E6" s="313">
        <f>'1.1.sz.mell.'!C95</f>
        <v>528271643</v>
      </c>
      <c r="F6" s="681"/>
    </row>
    <row r="7" spans="1:8" ht="12.95" customHeight="1" x14ac:dyDescent="0.2">
      <c r="A7" s="332" t="s">
        <v>16</v>
      </c>
      <c r="B7" s="333" t="s">
        <v>366</v>
      </c>
      <c r="C7" s="307">
        <f>'1.1.sz.mell.'!C12</f>
        <v>214859148</v>
      </c>
      <c r="D7" s="333" t="s">
        <v>172</v>
      </c>
      <c r="E7" s="313">
        <f>'1.1.sz.mell.'!C96</f>
        <v>90692317</v>
      </c>
      <c r="F7" s="681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'1.1.sz.mell.'!C97</f>
        <v>377140060</v>
      </c>
      <c r="F8" s="681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'1.1.sz.mell.'!C26</f>
        <v>123575000</v>
      </c>
      <c r="D9" s="333" t="s">
        <v>173</v>
      </c>
      <c r="E9" s="313">
        <f>'1.1.sz.mell.'!C98</f>
        <v>46198000</v>
      </c>
      <c r="F9" s="681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'1.1.sz.mell.'!C35</f>
        <v>79027303</v>
      </c>
      <c r="D10" s="333" t="s">
        <v>174</v>
      </c>
      <c r="E10" s="313">
        <f>'1.1.sz.mell.'!C99</f>
        <v>32716829</v>
      </c>
      <c r="F10" s="681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'1.1.sz.mell.'!C53</f>
        <v>0</v>
      </c>
      <c r="D11" s="333" t="s">
        <v>47</v>
      </c>
      <c r="E11" s="313">
        <f>'1.1.sz.mell.'!C114</f>
        <v>284754719</v>
      </c>
      <c r="F11" s="681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81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81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81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81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81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81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930840338</v>
      </c>
      <c r="D18" s="134" t="s">
        <v>373</v>
      </c>
      <c r="E18" s="316">
        <f>SUM(E6:E17)</f>
        <v>1359773568</v>
      </c>
      <c r="F18" s="681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446381567</v>
      </c>
      <c r="D19" s="338" t="s">
        <v>180</v>
      </c>
      <c r="E19" s="317"/>
      <c r="F19" s="681"/>
    </row>
    <row r="20" spans="1:6" ht="12.95" customHeight="1" x14ac:dyDescent="0.2">
      <c r="A20" s="339" t="s">
        <v>29</v>
      </c>
      <c r="B20" s="338" t="s">
        <v>212</v>
      </c>
      <c r="C20" s="79">
        <f>118172791-1690365+14574034+27000+267029128-2650567+49989000</f>
        <v>445451021</v>
      </c>
      <c r="D20" s="338" t="s">
        <v>372</v>
      </c>
      <c r="E20" s="80"/>
      <c r="F20" s="681"/>
    </row>
    <row r="21" spans="1:6" ht="12.95" customHeight="1" x14ac:dyDescent="0.2">
      <c r="A21" s="339" t="s">
        <v>30</v>
      </c>
      <c r="B21" s="338" t="s">
        <v>213</v>
      </c>
      <c r="C21" s="79">
        <f>+'1.1.sz.mell.'!C75</f>
        <v>930546</v>
      </c>
      <c r="D21" s="338" t="s">
        <v>149</v>
      </c>
      <c r="E21" s="80"/>
      <c r="F21" s="681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81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81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81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81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81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81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+'1.1.sz.mell.'!C143</f>
        <v>17448337</v>
      </c>
      <c r="F28" s="681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446381567</v>
      </c>
      <c r="D29" s="134" t="s">
        <v>476</v>
      </c>
      <c r="E29" s="316">
        <f>SUM(E19:E28)</f>
        <v>17448337</v>
      </c>
      <c r="F29" s="681"/>
    </row>
    <row r="30" spans="1:6" ht="13.5" thickBot="1" x14ac:dyDescent="0.25">
      <c r="A30" s="335" t="s">
        <v>39</v>
      </c>
      <c r="B30" s="341" t="s">
        <v>475</v>
      </c>
      <c r="C30" s="342">
        <f>+C18+C29</f>
        <v>1377221905</v>
      </c>
      <c r="D30" s="341" t="s">
        <v>477</v>
      </c>
      <c r="E30" s="342">
        <f>+E18+E29</f>
        <v>1377221905</v>
      </c>
      <c r="F30" s="681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428933230</v>
      </c>
      <c r="D31" s="341" t="s">
        <v>159</v>
      </c>
      <c r="E31" s="342" t="str">
        <f>IF(C18-E18&gt;0,C18-E18,"-")</f>
        <v>-</v>
      </c>
      <c r="F31" s="681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81"/>
    </row>
    <row r="33" spans="2:4" ht="18.75" x14ac:dyDescent="0.2">
      <c r="B33" s="682"/>
      <c r="C33" s="682"/>
      <c r="D33" s="682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A4" zoomScale="115" zoomScaleNormal="100" zoomScaleSheetLayoutView="115" workbookViewId="0">
      <selection activeCell="C6" sqref="C6:E33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81" t="str">
        <f>+CONCATENATE("2.2. melléklet a .../",LEFT(ÖSSZEFÜGGÉSEK!A5,4),". (…..) önkormányzati rendelethez")</f>
        <v>2.2. melléklet a .../2019. (…..) önkormányzati rendelethez</v>
      </c>
    </row>
    <row r="2" spans="1:6" ht="14.25" thickBot="1" x14ac:dyDescent="0.25">
      <c r="E2" s="320" t="s">
        <v>604</v>
      </c>
      <c r="F2" s="681"/>
    </row>
    <row r="3" spans="1:6" ht="13.5" thickBot="1" x14ac:dyDescent="0.25">
      <c r="A3" s="683" t="s">
        <v>66</v>
      </c>
      <c r="B3" s="321" t="s">
        <v>53</v>
      </c>
      <c r="C3" s="322"/>
      <c r="D3" s="321" t="s">
        <v>54</v>
      </c>
      <c r="E3" s="323"/>
      <c r="F3" s="681"/>
    </row>
    <row r="4" spans="1:6" s="324" customFormat="1" ht="24.75" thickBot="1" x14ac:dyDescent="0.25">
      <c r="A4" s="684"/>
      <c r="B4" s="198" t="s">
        <v>59</v>
      </c>
      <c r="C4" s="199" t="str">
        <f>+'2.1.sz.mell  '!C4</f>
        <v>2019. évi előirányzat</v>
      </c>
      <c r="D4" s="198" t="s">
        <v>59</v>
      </c>
      <c r="E4" s="55" t="str">
        <f>+'2.1.sz.mell  '!C4</f>
        <v>2019. évi előirányzat</v>
      </c>
      <c r="F4" s="681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81"/>
    </row>
    <row r="6" spans="1:6" ht="12.95" customHeight="1" x14ac:dyDescent="0.2">
      <c r="A6" s="330" t="s">
        <v>15</v>
      </c>
      <c r="B6" s="331" t="s">
        <v>374</v>
      </c>
      <c r="C6" s="307">
        <f>'1.1.sz.mell.'!C19</f>
        <v>17831266</v>
      </c>
      <c r="D6" s="331" t="s">
        <v>214</v>
      </c>
      <c r="E6" s="313">
        <f>'1.1.sz.mell.'!C116</f>
        <v>548607962</v>
      </c>
      <c r="F6" s="681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81"/>
    </row>
    <row r="8" spans="1:6" ht="12.95" customHeight="1" x14ac:dyDescent="0.2">
      <c r="A8" s="332" t="s">
        <v>17</v>
      </c>
      <c r="B8" s="333" t="s">
        <v>6</v>
      </c>
      <c r="C8" s="308">
        <f>'1.1.sz.mell.'!C47</f>
        <v>57540240</v>
      </c>
      <c r="D8" s="333" t="s">
        <v>176</v>
      </c>
      <c r="E8" s="314">
        <f>'1.1.sz.mell.'!C118</f>
        <v>24990932</v>
      </c>
      <c r="F8" s="681"/>
    </row>
    <row r="9" spans="1:6" ht="12.95" customHeight="1" x14ac:dyDescent="0.2">
      <c r="A9" s="332" t="s">
        <v>18</v>
      </c>
      <c r="B9" s="333" t="s">
        <v>376</v>
      </c>
      <c r="C9" s="308">
        <f>'1.1.sz.mell.'!C58</f>
        <v>410000</v>
      </c>
      <c r="D9" s="333" t="s">
        <v>381</v>
      </c>
      <c r="E9" s="314"/>
      <c r="F9" s="681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'1.1.sz.mell.'!C120</f>
        <v>1300000</v>
      </c>
      <c r="F10" s="681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81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81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81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81"/>
    </row>
    <row r="15" spans="1:6" x14ac:dyDescent="0.2">
      <c r="A15" s="332" t="s">
        <v>24</v>
      </c>
      <c r="B15" s="48"/>
      <c r="C15" s="309"/>
      <c r="D15" s="442"/>
      <c r="E15" s="314"/>
      <c r="F15" s="681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81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75781506</v>
      </c>
      <c r="D17" s="134" t="s">
        <v>389</v>
      </c>
      <c r="E17" s="316">
        <f>+E6+E8+E10+E11+E12+E13+E14+E15+E16</f>
        <v>574898894</v>
      </c>
      <c r="F17" s="681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506111398</v>
      </c>
      <c r="D18" s="338" t="s">
        <v>180</v>
      </c>
      <c r="E18" s="77"/>
      <c r="F18" s="681"/>
    </row>
    <row r="19" spans="1:6" ht="12.95" customHeight="1" x14ac:dyDescent="0.2">
      <c r="A19" s="332" t="s">
        <v>28</v>
      </c>
      <c r="B19" s="346" t="s">
        <v>224</v>
      </c>
      <c r="C19" s="79">
        <f>'1.1.sz.mell.'!C74-'2.1.sz.mell  '!C20</f>
        <v>506111398</v>
      </c>
      <c r="D19" s="338" t="s">
        <v>183</v>
      </c>
      <c r="E19" s="80"/>
      <c r="F19" s="681"/>
    </row>
    <row r="20" spans="1:6" ht="12.95" customHeight="1" x14ac:dyDescent="0.2">
      <c r="A20" s="330" t="s">
        <v>29</v>
      </c>
      <c r="B20" s="346" t="s">
        <v>225</v>
      </c>
      <c r="C20" s="79"/>
      <c r="D20" s="338" t="s">
        <v>149</v>
      </c>
      <c r="E20" s="80"/>
      <c r="F20" s="681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'1.1.sz.mell.'!C131</f>
        <v>5875000</v>
      </c>
      <c r="F21" s="681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81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81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81"/>
    </row>
    <row r="25" spans="1:6" ht="12.95" customHeight="1" x14ac:dyDescent="0.2">
      <c r="A25" s="332" t="s">
        <v>34</v>
      </c>
      <c r="B25" s="347" t="s">
        <v>230</v>
      </c>
      <c r="C25" s="79">
        <f>'1.1.sz.mell.'!C65</f>
        <v>0</v>
      </c>
      <c r="D25" s="349" t="s">
        <v>382</v>
      </c>
      <c r="E25" s="80">
        <f>'1.1.sz.mell.'!C145</f>
        <v>1119010</v>
      </c>
      <c r="F25" s="681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81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81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81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81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506111398</v>
      </c>
      <c r="D30" s="134" t="s">
        <v>383</v>
      </c>
      <c r="E30" s="316">
        <f>SUM(E18:E29)</f>
        <v>6994010</v>
      </c>
      <c r="F30" s="681"/>
    </row>
    <row r="31" spans="1:6" ht="13.5" thickBot="1" x14ac:dyDescent="0.25">
      <c r="A31" s="335" t="s">
        <v>40</v>
      </c>
      <c r="B31" s="341" t="s">
        <v>384</v>
      </c>
      <c r="C31" s="342">
        <f>+C17+C30</f>
        <v>581892904</v>
      </c>
      <c r="D31" s="341" t="s">
        <v>385</v>
      </c>
      <c r="E31" s="342">
        <f>+E17+E30</f>
        <v>581892904</v>
      </c>
      <c r="F31" s="681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499117388</v>
      </c>
      <c r="D32" s="341" t="s">
        <v>159</v>
      </c>
      <c r="E32" s="342" t="str">
        <f>IF(C17-E17&gt;0,C17-E17,"-")</f>
        <v>-</v>
      </c>
      <c r="F32" s="681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581892904</v>
      </c>
      <c r="F33" s="681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2019.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+'1.1.sz.mell.'!C63</f>
        <v>1006621844</v>
      </c>
      <c r="C6" s="142" t="s">
        <v>478</v>
      </c>
      <c r="D6" s="145">
        <f>+'2.1.sz.mell  '!C18+'2.2.sz.mell  '!C17</f>
        <v>1006621844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+'1.1.sz.mell.'!C87</f>
        <v>952492965</v>
      </c>
      <c r="C7" s="142" t="s">
        <v>479</v>
      </c>
      <c r="D7" s="145">
        <f>+'2.1.sz.mell  '!C29+'2.2.sz.mell  '!C30</f>
        <v>952492965</v>
      </c>
      <c r="E7" s="143">
        <f t="shared" si="0"/>
        <v>0</v>
      </c>
    </row>
    <row r="8" spans="1:5" x14ac:dyDescent="0.2">
      <c r="A8" s="142" t="s">
        <v>534</v>
      </c>
      <c r="B8" s="143">
        <f>+'1.1.sz.mell.'!C88</f>
        <v>1959114809</v>
      </c>
      <c r="C8" s="142" t="s">
        <v>480</v>
      </c>
      <c r="D8" s="145">
        <f>+'2.1.sz.mell  '!C30+'2.2.sz.mell  '!C31</f>
        <v>1959114809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2019.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+'1.1.sz.mell.'!C129</f>
        <v>1934672462</v>
      </c>
      <c r="C13" s="142" t="s">
        <v>481</v>
      </c>
      <c r="D13" s="145">
        <f>+'2.1.sz.mell  '!E18+'2.2.sz.mell  '!E17</f>
        <v>1934672462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+'1.1.sz.mell.'!C154</f>
        <v>24442347</v>
      </c>
      <c r="C14" s="142" t="s">
        <v>482</v>
      </c>
      <c r="D14" s="145">
        <f>+'2.1.sz.mell  '!E29+'2.2.sz.mell  '!E30</f>
        <v>24442347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+'1.1.sz.mell.'!C155</f>
        <v>1959114809</v>
      </c>
      <c r="C15" s="142" t="s">
        <v>483</v>
      </c>
      <c r="D15" s="145">
        <f>+'2.1.sz.mell  '!E30+'2.2.sz.mell  '!E31</f>
        <v>1959114809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9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E6" sqref="E6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5" t="s">
        <v>552</v>
      </c>
      <c r="B1" s="685"/>
      <c r="C1" s="685"/>
      <c r="D1" s="685"/>
      <c r="E1" s="685"/>
      <c r="F1" s="685"/>
    </row>
    <row r="2" spans="1:7" ht="15.95" customHeight="1" thickBot="1" x14ac:dyDescent="0.3">
      <c r="A2" s="157"/>
      <c r="B2" s="157"/>
      <c r="C2" s="686"/>
      <c r="D2" s="686"/>
      <c r="E2" s="693" t="s">
        <v>52</v>
      </c>
      <c r="F2" s="693"/>
      <c r="G2" s="163"/>
    </row>
    <row r="3" spans="1:7" ht="63" customHeight="1" x14ac:dyDescent="0.25">
      <c r="A3" s="689" t="s">
        <v>13</v>
      </c>
      <c r="B3" s="691" t="s">
        <v>186</v>
      </c>
      <c r="C3" s="691" t="s">
        <v>239</v>
      </c>
      <c r="D3" s="691"/>
      <c r="E3" s="691"/>
      <c r="F3" s="687" t="s">
        <v>489</v>
      </c>
    </row>
    <row r="4" spans="1:7" ht="15.75" thickBot="1" x14ac:dyDescent="0.3">
      <c r="A4" s="690"/>
      <c r="B4" s="692"/>
      <c r="C4" s="487">
        <f>+LEFT(ÖSSZEFÜGGÉSEK!A5,4)+1</f>
        <v>2020</v>
      </c>
      <c r="D4" s="487">
        <f>+C4+1</f>
        <v>2021</v>
      </c>
      <c r="E4" s="487">
        <f>+D4+1</f>
        <v>2022</v>
      </c>
      <c r="F4" s="688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7" t="s">
        <v>612</v>
      </c>
      <c r="C6" s="578">
        <v>8639</v>
      </c>
      <c r="D6" s="578">
        <v>8639</v>
      </c>
      <c r="E6" s="578">
        <v>45527</v>
      </c>
      <c r="F6" s="579">
        <f>SUM(C6:E6)</f>
        <v>62805</v>
      </c>
    </row>
    <row r="7" spans="1:7" x14ac:dyDescent="0.25">
      <c r="A7" s="158" t="s">
        <v>16</v>
      </c>
      <c r="B7" s="180" t="s">
        <v>613</v>
      </c>
      <c r="C7" s="181">
        <v>503</v>
      </c>
      <c r="D7" s="181"/>
      <c r="E7" s="181"/>
      <c r="F7" s="166">
        <f>SUM(C7:E7)</f>
        <v>503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9142</v>
      </c>
      <c r="D11" s="478">
        <f>SUM(D6:D10)</f>
        <v>8639</v>
      </c>
      <c r="E11" s="478">
        <f>SUM(E6:E10)</f>
        <v>45527</v>
      </c>
      <c r="F11" s="479">
        <f>SUM(F6:F10)</f>
        <v>63308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...../2019.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2019-10-03T11:25:50Z</cp:lastPrinted>
  <dcterms:created xsi:type="dcterms:W3CDTF">1999-10-30T10:30:45Z</dcterms:created>
  <dcterms:modified xsi:type="dcterms:W3CDTF">2019-10-03T11:29:55Z</dcterms:modified>
</cp:coreProperties>
</file>