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20\Testületi anyag 2020 03 09\"/>
    </mc:Choice>
  </mc:AlternateContent>
  <bookViews>
    <workbookView xWindow="-120" yWindow="-120" windowWidth="20730" windowHeight="11160" tabRatio="727" firstSheet="1" activeTab="1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'1.1.sz.mell.'!$A$1:$C$162</definedName>
    <definedName name="_xlnm.Print_Area" localSheetId="2">'1.2.sz.mell.'!$A$1:$C$162</definedName>
    <definedName name="_xlnm.Print_Area" localSheetId="3">'1.3.sz.mell.'!$A$1:$C$162</definedName>
    <definedName name="_xlnm.Print_Area" localSheetId="4">'1.4.sz.mell.'!$A$1:$C$162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ÖNK'!$A$1:$C$162</definedName>
    <definedName name="_xlnm.Print_Area" localSheetId="15">'9.1.1. sz. mell ÖNK'!$A$1:$C$162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16" l="1"/>
  <c r="C9" i="116"/>
  <c r="C12" i="3"/>
  <c r="C9" i="1" s="1"/>
  <c r="C11" i="3"/>
  <c r="C8" i="1" s="1"/>
  <c r="C13" i="119"/>
  <c r="C12" i="117" l="1"/>
  <c r="D247" i="71" l="1"/>
  <c r="C247" i="71"/>
  <c r="B247" i="71"/>
  <c r="B257" i="71"/>
  <c r="D196" i="71"/>
  <c r="C196" i="71"/>
  <c r="C206" i="71" s="1"/>
  <c r="C219" i="71" s="1"/>
  <c r="C229" i="71" s="1"/>
  <c r="B196" i="71"/>
  <c r="D265" i="71"/>
  <c r="B265" i="71"/>
  <c r="E264" i="71"/>
  <c r="E263" i="71"/>
  <c r="E262" i="71"/>
  <c r="E261" i="71"/>
  <c r="E260" i="71"/>
  <c r="E259" i="71"/>
  <c r="C265" i="71"/>
  <c r="C255" i="71" s="1"/>
  <c r="D255" i="71"/>
  <c r="B255" i="71"/>
  <c r="E254" i="71"/>
  <c r="E253" i="71"/>
  <c r="E252" i="71"/>
  <c r="E251" i="71"/>
  <c r="E250" i="71"/>
  <c r="E249" i="71"/>
  <c r="D257" i="71"/>
  <c r="C257" i="71"/>
  <c r="D237" i="71"/>
  <c r="C237" i="71"/>
  <c r="B237" i="71"/>
  <c r="E236" i="71"/>
  <c r="E235" i="71"/>
  <c r="E234" i="71"/>
  <c r="E233" i="71"/>
  <c r="E232" i="71"/>
  <c r="E231" i="71"/>
  <c r="E230" i="71"/>
  <c r="D227" i="71"/>
  <c r="B227" i="71"/>
  <c r="E226" i="71"/>
  <c r="E225" i="71"/>
  <c r="E224" i="71"/>
  <c r="E223" i="71"/>
  <c r="E222" i="71"/>
  <c r="E221" i="71"/>
  <c r="C227" i="71"/>
  <c r="D214" i="71"/>
  <c r="C214" i="71"/>
  <c r="C197" i="71" s="1"/>
  <c r="C204" i="71" s="1"/>
  <c r="B214" i="71"/>
  <c r="E213" i="71"/>
  <c r="E212" i="71"/>
  <c r="E211" i="71"/>
  <c r="E210" i="71"/>
  <c r="E209" i="71"/>
  <c r="E208" i="71"/>
  <c r="E207" i="71"/>
  <c r="D206" i="71"/>
  <c r="D219" i="71" s="1"/>
  <c r="D229" i="71" s="1"/>
  <c r="D204" i="71"/>
  <c r="B204" i="71"/>
  <c r="E203" i="71"/>
  <c r="E202" i="71"/>
  <c r="E201" i="71"/>
  <c r="E200" i="71"/>
  <c r="E199" i="71"/>
  <c r="E198" i="71"/>
  <c r="B206" i="71"/>
  <c r="B219" i="71" s="1"/>
  <c r="B229" i="71" s="1"/>
  <c r="E19" i="63"/>
  <c r="B19" i="63"/>
  <c r="C98" i="119"/>
  <c r="C97" i="119"/>
  <c r="E214" i="71" l="1"/>
  <c r="E258" i="71"/>
  <c r="E265" i="71" s="1"/>
  <c r="E237" i="71"/>
  <c r="E248" i="71"/>
  <c r="E255" i="71" s="1"/>
  <c r="E197" i="71"/>
  <c r="E204" i="71" s="1"/>
  <c r="E220" i="71"/>
  <c r="E227" i="71" s="1"/>
  <c r="C119" i="119" l="1"/>
  <c r="C40" i="130" l="1"/>
  <c r="E30" i="142" l="1"/>
  <c r="E9" i="142"/>
  <c r="F9" i="142"/>
  <c r="G9" i="142"/>
  <c r="H9" i="142"/>
  <c r="I9" i="142"/>
  <c r="I18" i="142"/>
  <c r="E18" i="142"/>
  <c r="E17" i="142"/>
  <c r="E16" i="142"/>
  <c r="E15" i="142"/>
  <c r="I14" i="142"/>
  <c r="E14" i="142"/>
  <c r="I12" i="142"/>
  <c r="E12" i="142"/>
  <c r="E11" i="142"/>
  <c r="I10" i="142"/>
  <c r="E10" i="142"/>
  <c r="J9" i="142" l="1"/>
  <c r="F15" i="63" l="1"/>
  <c r="F16" i="63"/>
  <c r="C99" i="119"/>
  <c r="F9" i="63"/>
  <c r="F10" i="63"/>
  <c r="F11" i="63"/>
  <c r="F12" i="63"/>
  <c r="F13" i="63"/>
  <c r="C39" i="119"/>
  <c r="C14" i="119" l="1"/>
  <c r="E14" i="119"/>
  <c r="C22" i="119" l="1"/>
  <c r="E122" i="119" l="1"/>
  <c r="C35" i="119"/>
  <c r="D186" i="71" l="1"/>
  <c r="B186" i="71"/>
  <c r="E185" i="71"/>
  <c r="E184" i="71"/>
  <c r="E183" i="71"/>
  <c r="E182" i="71"/>
  <c r="E181" i="71"/>
  <c r="E180" i="71"/>
  <c r="E179" i="71"/>
  <c r="C186" i="71"/>
  <c r="C169" i="71" s="1"/>
  <c r="D176" i="71"/>
  <c r="B176" i="71"/>
  <c r="E175" i="71"/>
  <c r="E174" i="71"/>
  <c r="E173" i="71"/>
  <c r="E172" i="71"/>
  <c r="E171" i="71"/>
  <c r="E170" i="71"/>
  <c r="C156" i="71"/>
  <c r="E186" i="71" l="1"/>
  <c r="C176" i="71"/>
  <c r="E169" i="71"/>
  <c r="E176" i="71" s="1"/>
  <c r="F17" i="63" l="1"/>
  <c r="C26" i="116" l="1"/>
  <c r="D11" i="88"/>
  <c r="D9" i="88" s="1"/>
  <c r="C11" i="88"/>
  <c r="C9" i="88" s="1"/>
  <c r="C33" i="88" s="1"/>
  <c r="J29" i="142"/>
  <c r="I28" i="142"/>
  <c r="H28" i="142"/>
  <c r="G28" i="142"/>
  <c r="F28" i="142"/>
  <c r="E28" i="142"/>
  <c r="J27" i="142"/>
  <c r="I26" i="142"/>
  <c r="H26" i="142"/>
  <c r="G26" i="142"/>
  <c r="F26" i="142"/>
  <c r="E26" i="142"/>
  <c r="J25" i="142"/>
  <c r="I24" i="142"/>
  <c r="H24" i="142"/>
  <c r="G24" i="142"/>
  <c r="F24" i="142"/>
  <c r="E24" i="142"/>
  <c r="J22" i="142"/>
  <c r="J20" i="142"/>
  <c r="J18" i="142"/>
  <c r="J17" i="142"/>
  <c r="J16" i="142"/>
  <c r="J15" i="142"/>
  <c r="J14" i="142"/>
  <c r="E13" i="142"/>
  <c r="J13" i="142" s="1"/>
  <c r="J12" i="142"/>
  <c r="J11" i="142"/>
  <c r="J10" i="142"/>
  <c r="J8" i="142"/>
  <c r="J7" i="142"/>
  <c r="I6" i="142"/>
  <c r="H6" i="142"/>
  <c r="G6" i="142"/>
  <c r="F6" i="142"/>
  <c r="E6" i="142"/>
  <c r="I4" i="142"/>
  <c r="H4" i="142"/>
  <c r="G4" i="142"/>
  <c r="F4" i="142"/>
  <c r="E3" i="142"/>
  <c r="J6" i="142" l="1"/>
  <c r="J24" i="142"/>
  <c r="J28" i="142"/>
  <c r="F30" i="142"/>
  <c r="J26" i="142"/>
  <c r="G30" i="142"/>
  <c r="H30" i="142"/>
  <c r="J30" i="142"/>
  <c r="I30" i="142"/>
  <c r="C28" i="129" l="1"/>
  <c r="C23" i="129" l="1"/>
  <c r="E23" i="119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25" i="71" s="1"/>
  <c r="D130" i="71" s="1"/>
  <c r="C140" i="71"/>
  <c r="E135" i="71"/>
  <c r="E134" i="71"/>
  <c r="E133" i="71"/>
  <c r="E129" i="71"/>
  <c r="E128" i="71"/>
  <c r="E127" i="71"/>
  <c r="E126" i="71"/>
  <c r="E124" i="71"/>
  <c r="D117" i="71"/>
  <c r="B117" i="71"/>
  <c r="E116" i="71"/>
  <c r="E115" i="71"/>
  <c r="E114" i="71"/>
  <c r="E113" i="71"/>
  <c r="E112" i="71"/>
  <c r="C117" i="71"/>
  <c r="C100" i="71" s="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C54" i="71" s="1"/>
  <c r="B71" i="71"/>
  <c r="B61" i="71" s="1"/>
  <c r="E70" i="71"/>
  <c r="E69" i="71"/>
  <c r="E68" i="71"/>
  <c r="E67" i="71"/>
  <c r="E66" i="71"/>
  <c r="E65" i="71"/>
  <c r="E64" i="71"/>
  <c r="D61" i="71"/>
  <c r="C61" i="71"/>
  <c r="E60" i="71"/>
  <c r="E59" i="71"/>
  <c r="E58" i="71"/>
  <c r="E57" i="71"/>
  <c r="E56" i="71"/>
  <c r="E55" i="71"/>
  <c r="E54" i="71"/>
  <c r="D48" i="71"/>
  <c r="C48" i="71"/>
  <c r="C31" i="71" s="1"/>
  <c r="C38" i="71" s="1"/>
  <c r="B48" i="71"/>
  <c r="E47" i="71"/>
  <c r="E46" i="71"/>
  <c r="E45" i="71"/>
  <c r="E44" i="71"/>
  <c r="E43" i="71"/>
  <c r="E42" i="71"/>
  <c r="E41" i="71"/>
  <c r="D38" i="71"/>
  <c r="B38" i="71"/>
  <c r="E37" i="71"/>
  <c r="E36" i="71"/>
  <c r="E35" i="71"/>
  <c r="E34" i="71"/>
  <c r="E33" i="71"/>
  <c r="E32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D168" i="71" s="1"/>
  <c r="D178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C168" i="71" s="1"/>
  <c r="C178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B168" i="71" s="1"/>
  <c r="B178" i="71" s="1"/>
  <c r="E31" i="71" l="1"/>
  <c r="E123" i="71"/>
  <c r="E140" i="7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E111" i="71"/>
  <c r="E117" i="71" s="1"/>
  <c r="C146" i="71" l="1"/>
  <c r="C153" i="71" s="1"/>
  <c r="C130" i="71"/>
  <c r="B130" i="71"/>
  <c r="E125" i="71"/>
  <c r="E130" i="71" s="1"/>
  <c r="E148" i="71"/>
  <c r="D153" i="71" l="1"/>
  <c r="E146" i="71"/>
  <c r="E153" i="71" s="1"/>
  <c r="C100" i="3" l="1"/>
  <c r="F8" i="63"/>
  <c r="F14" i="63"/>
  <c r="C102" i="119" l="1"/>
  <c r="C19" i="117" l="1"/>
  <c r="F7" i="63" l="1"/>
  <c r="C52" i="138"/>
  <c r="C31" i="116" l="1"/>
  <c r="C34" i="3"/>
  <c r="C31" i="1" s="1"/>
  <c r="C115" i="119" l="1"/>
  <c r="C47" i="124" l="1"/>
  <c r="F23" i="119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C8" i="119" l="1"/>
  <c r="E52" i="87" l="1"/>
  <c r="C29" i="137"/>
  <c r="E3" i="137"/>
  <c r="D3" i="137"/>
  <c r="C3" i="137"/>
  <c r="C52" i="133"/>
  <c r="D3" i="87" l="1"/>
  <c r="C120" i="116" l="1"/>
  <c r="C118" i="116"/>
  <c r="C100" i="116"/>
  <c r="C49" i="138"/>
  <c r="C50" i="138"/>
  <c r="C47" i="138"/>
  <c r="C48" i="138"/>
  <c r="C46" i="138"/>
  <c r="C51" i="141"/>
  <c r="C45" i="14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24" i="73"/>
  <c r="C39" i="116"/>
  <c r="D29" i="137"/>
  <c r="E29" i="137"/>
  <c r="E33" i="137" s="1"/>
  <c r="C32" i="117"/>
  <c r="C28" i="117" s="1"/>
  <c r="E114" i="87"/>
  <c r="B37" i="2"/>
  <c r="B18" i="2"/>
  <c r="B6" i="2"/>
  <c r="B16" i="2" s="1"/>
  <c r="C98" i="118"/>
  <c r="C99" i="118"/>
  <c r="C97" i="118"/>
  <c r="C113" i="117"/>
  <c r="C98" i="117"/>
  <c r="C99" i="117"/>
  <c r="C100" i="117"/>
  <c r="C101" i="117"/>
  <c r="C97" i="117"/>
  <c r="C39" i="117"/>
  <c r="C40" i="117"/>
  <c r="C41" i="117"/>
  <c r="C42" i="117"/>
  <c r="C43" i="117"/>
  <c r="C38" i="117"/>
  <c r="C147" i="116"/>
  <c r="C146" i="116"/>
  <c r="C145" i="116"/>
  <c r="C144" i="116"/>
  <c r="C138" i="116"/>
  <c r="C139" i="116"/>
  <c r="C140" i="116"/>
  <c r="C141" i="116"/>
  <c r="C142" i="116"/>
  <c r="C137" i="116"/>
  <c r="C134" i="116"/>
  <c r="C135" i="116"/>
  <c r="C133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15" i="116"/>
  <c r="C116" i="116"/>
  <c r="C102" i="116"/>
  <c r="C84" i="116"/>
  <c r="C85" i="116"/>
  <c r="C86" i="116"/>
  <c r="C83" i="116"/>
  <c r="C80" i="116"/>
  <c r="C81" i="116"/>
  <c r="C79" i="116"/>
  <c r="C77" i="116"/>
  <c r="C76" i="116"/>
  <c r="C72" i="116"/>
  <c r="C73" i="116"/>
  <c r="C74" i="116"/>
  <c r="C71" i="116"/>
  <c r="C68" i="116"/>
  <c r="C69" i="116"/>
  <c r="C67" i="116"/>
  <c r="C62" i="116"/>
  <c r="C63" i="116"/>
  <c r="C64" i="116"/>
  <c r="C61" i="116"/>
  <c r="C57" i="116"/>
  <c r="C58" i="116"/>
  <c r="C59" i="116"/>
  <c r="C56" i="116"/>
  <c r="C51" i="116"/>
  <c r="C52" i="116"/>
  <c r="C50" i="116"/>
  <c r="C40" i="116"/>
  <c r="C41" i="116"/>
  <c r="C42" i="116"/>
  <c r="C44" i="116"/>
  <c r="C45" i="116"/>
  <c r="C46" i="116"/>
  <c r="C47" i="116"/>
  <c r="C48" i="116"/>
  <c r="C38" i="116"/>
  <c r="C30" i="116"/>
  <c r="C32" i="116"/>
  <c r="C33" i="116"/>
  <c r="C34" i="116"/>
  <c r="C35" i="116"/>
  <c r="C36" i="116"/>
  <c r="C29" i="116"/>
  <c r="C23" i="116"/>
  <c r="C24" i="116"/>
  <c r="C25" i="116"/>
  <c r="C27" i="116"/>
  <c r="C22" i="116"/>
  <c r="C16" i="116"/>
  <c r="C17" i="116"/>
  <c r="C18" i="116"/>
  <c r="C20" i="116"/>
  <c r="C15" i="116"/>
  <c r="C7" i="116"/>
  <c r="C10" i="116"/>
  <c r="C11" i="116"/>
  <c r="C13" i="116"/>
  <c r="C6" i="116"/>
  <c r="H12" i="73"/>
  <c r="C43" i="116"/>
  <c r="C40" i="119"/>
  <c r="C122" i="116"/>
  <c r="C98" i="116"/>
  <c r="C97" i="116"/>
  <c r="C33" i="3"/>
  <c r="C30" i="1" s="1"/>
  <c r="C35" i="3"/>
  <c r="C36" i="3"/>
  <c r="C33" i="1" s="1"/>
  <c r="C37" i="3"/>
  <c r="C34" i="1" s="1"/>
  <c r="C38" i="3"/>
  <c r="C35" i="1" s="1"/>
  <c r="C99" i="116"/>
  <c r="C45" i="125"/>
  <c r="C87" i="3"/>
  <c r="C88" i="3"/>
  <c r="C89" i="3"/>
  <c r="C86" i="3"/>
  <c r="C83" i="3"/>
  <c r="C84" i="3"/>
  <c r="C82" i="3"/>
  <c r="C80" i="3"/>
  <c r="C79" i="3"/>
  <c r="C75" i="3"/>
  <c r="C76" i="3"/>
  <c r="C77" i="3"/>
  <c r="C74" i="3"/>
  <c r="C71" i="3"/>
  <c r="C72" i="3"/>
  <c r="C70" i="3"/>
  <c r="C67" i="1" s="1"/>
  <c r="C65" i="3"/>
  <c r="C62" i="1" s="1"/>
  <c r="C66" i="3"/>
  <c r="C63" i="1" s="1"/>
  <c r="C67" i="3"/>
  <c r="C64" i="1" s="1"/>
  <c r="C64" i="3"/>
  <c r="C61" i="1" s="1"/>
  <c r="C60" i="3"/>
  <c r="C57" i="1" s="1"/>
  <c r="C61" i="3"/>
  <c r="C58" i="1" s="1"/>
  <c r="C62" i="3"/>
  <c r="C59" i="1" s="1"/>
  <c r="C59" i="3"/>
  <c r="C56" i="1" s="1"/>
  <c r="C54" i="3"/>
  <c r="C51" i="1" s="1"/>
  <c r="C55" i="3"/>
  <c r="C52" i="1" s="1"/>
  <c r="C56" i="3"/>
  <c r="C53" i="1" s="1"/>
  <c r="C57" i="3"/>
  <c r="C54" i="1" s="1"/>
  <c r="C53" i="3"/>
  <c r="C50" i="1" s="1"/>
  <c r="C42" i="3"/>
  <c r="C43" i="3"/>
  <c r="C44" i="3"/>
  <c r="C45" i="3"/>
  <c r="C46" i="3"/>
  <c r="C47" i="3"/>
  <c r="C48" i="3"/>
  <c r="C49" i="3"/>
  <c r="C50" i="3"/>
  <c r="C47" i="1" s="1"/>
  <c r="C51" i="3"/>
  <c r="C41" i="3"/>
  <c r="C39" i="3"/>
  <c r="C36" i="1" s="1"/>
  <c r="C32" i="3"/>
  <c r="C26" i="3"/>
  <c r="C23" i="1" s="1"/>
  <c r="C27" i="3"/>
  <c r="C24" i="1" s="1"/>
  <c r="C28" i="3"/>
  <c r="C25" i="1" s="1"/>
  <c r="C29" i="3"/>
  <c r="C26" i="1" s="1"/>
  <c r="C30" i="3"/>
  <c r="C27" i="1" s="1"/>
  <c r="C25" i="3"/>
  <c r="C22" i="1" s="1"/>
  <c r="C19" i="3"/>
  <c r="C16" i="1" s="1"/>
  <c r="C20" i="3"/>
  <c r="C17" i="1" s="1"/>
  <c r="C21" i="3"/>
  <c r="C18" i="1" s="1"/>
  <c r="C22" i="3"/>
  <c r="C23" i="3"/>
  <c r="C20" i="1" s="1"/>
  <c r="C18" i="3"/>
  <c r="C15" i="1" s="1"/>
  <c r="D33" i="88"/>
  <c r="C162" i="3"/>
  <c r="C161" i="3"/>
  <c r="C156" i="3"/>
  <c r="C157" i="3"/>
  <c r="C152" i="3"/>
  <c r="C153" i="3"/>
  <c r="C154" i="3"/>
  <c r="C155" i="3"/>
  <c r="C151" i="3"/>
  <c r="C146" i="3"/>
  <c r="C145" i="1" s="1"/>
  <c r="E28" i="73" s="1"/>
  <c r="E29" i="73" s="1"/>
  <c r="C148" i="3"/>
  <c r="C146" i="1" s="1"/>
  <c r="C149" i="3"/>
  <c r="C147" i="1" s="1"/>
  <c r="C145" i="3"/>
  <c r="C139" i="3"/>
  <c r="C140" i="3"/>
  <c r="C141" i="3"/>
  <c r="C142" i="3"/>
  <c r="C143" i="3"/>
  <c r="C138" i="3"/>
  <c r="C135" i="3"/>
  <c r="C136" i="3"/>
  <c r="C134" i="3"/>
  <c r="C133" i="1" s="1"/>
  <c r="C120" i="3"/>
  <c r="C121" i="3"/>
  <c r="O22" i="24" s="1"/>
  <c r="C122" i="3"/>
  <c r="C123" i="3"/>
  <c r="O23" i="24" s="1"/>
  <c r="C124" i="3"/>
  <c r="C125" i="3"/>
  <c r="C126" i="3"/>
  <c r="C127" i="3"/>
  <c r="C128" i="3"/>
  <c r="C129" i="3"/>
  <c r="C130" i="3"/>
  <c r="C131" i="3"/>
  <c r="C130" i="1" s="1"/>
  <c r="C119" i="3"/>
  <c r="C99" i="3"/>
  <c r="C101" i="3"/>
  <c r="O19" i="24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C116" i="3"/>
  <c r="C115" i="1" s="1"/>
  <c r="C117" i="3"/>
  <c r="C116" i="1" s="1"/>
  <c r="E11" i="73" s="1"/>
  <c r="C97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9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39" i="79"/>
  <c r="C36" i="79"/>
  <c r="C35" i="79"/>
  <c r="C33" i="79"/>
  <c r="C34" i="79"/>
  <c r="C32" i="79"/>
  <c r="C30" i="79"/>
  <c r="C28" i="79"/>
  <c r="C29" i="79"/>
  <c r="C27" i="79"/>
  <c r="C26" i="79" s="1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C22" i="137"/>
  <c r="E26" i="137"/>
  <c r="D26" i="137"/>
  <c r="C26" i="137"/>
  <c r="C10" i="3"/>
  <c r="C7" i="1" s="1"/>
  <c r="C13" i="3"/>
  <c r="C10" i="1" s="1"/>
  <c r="C14" i="3"/>
  <c r="C11" i="1" s="1"/>
  <c r="C16" i="3"/>
  <c r="C13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31" i="121"/>
  <c r="C31" i="120"/>
  <c r="C31" i="119"/>
  <c r="C28" i="118"/>
  <c r="F3" i="64"/>
  <c r="E3" i="63"/>
  <c r="E3" i="64" s="1"/>
  <c r="C149" i="121"/>
  <c r="C143" i="121"/>
  <c r="C149" i="120"/>
  <c r="C143" i="120"/>
  <c r="C150" i="119"/>
  <c r="C51" i="127"/>
  <c r="C45" i="127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6" i="121"/>
  <c r="C132" i="121"/>
  <c r="C117" i="121"/>
  <c r="C96" i="121"/>
  <c r="C85" i="121"/>
  <c r="C81" i="121"/>
  <c r="C78" i="121"/>
  <c r="C73" i="121"/>
  <c r="C69" i="121"/>
  <c r="C63" i="121"/>
  <c r="C58" i="121"/>
  <c r="C52" i="121"/>
  <c r="C40" i="121"/>
  <c r="C24" i="121"/>
  <c r="C17" i="121"/>
  <c r="C8" i="121"/>
  <c r="C136" i="120"/>
  <c r="C132" i="120"/>
  <c r="C117" i="120"/>
  <c r="C96" i="120"/>
  <c r="C85" i="120"/>
  <c r="C81" i="120"/>
  <c r="C78" i="120"/>
  <c r="C73" i="120"/>
  <c r="C69" i="120"/>
  <c r="C63" i="120"/>
  <c r="C58" i="120"/>
  <c r="C52" i="120"/>
  <c r="C40" i="120"/>
  <c r="C24" i="120"/>
  <c r="C17" i="120"/>
  <c r="C8" i="120"/>
  <c r="C137" i="119"/>
  <c r="C133" i="119"/>
  <c r="C118" i="119"/>
  <c r="C85" i="119"/>
  <c r="C81" i="119"/>
  <c r="C78" i="119"/>
  <c r="C73" i="119"/>
  <c r="C69" i="119"/>
  <c r="C63" i="119"/>
  <c r="C58" i="119"/>
  <c r="C52" i="119"/>
  <c r="C24" i="119"/>
  <c r="C17" i="119"/>
  <c r="C4" i="73"/>
  <c r="E4" i="61" s="1"/>
  <c r="C148" i="118"/>
  <c r="C143" i="118"/>
  <c r="C136" i="118"/>
  <c r="C132" i="118"/>
  <c r="C117" i="118"/>
  <c r="C82" i="118"/>
  <c r="C78" i="118"/>
  <c r="C75" i="118"/>
  <c r="C70" i="118"/>
  <c r="C66" i="118"/>
  <c r="C60" i="118"/>
  <c r="C55" i="118"/>
  <c r="C49" i="118"/>
  <c r="C37" i="118"/>
  <c r="C21" i="118"/>
  <c r="C14" i="118"/>
  <c r="C5" i="118"/>
  <c r="C3" i="118"/>
  <c r="C94" i="118" s="1"/>
  <c r="C148" i="117"/>
  <c r="C143" i="117"/>
  <c r="C136" i="117"/>
  <c r="C132" i="117"/>
  <c r="C117" i="117"/>
  <c r="C82" i="117"/>
  <c r="C78" i="117"/>
  <c r="C75" i="117"/>
  <c r="C70" i="117"/>
  <c r="C66" i="117"/>
  <c r="C60" i="117"/>
  <c r="C55" i="117"/>
  <c r="C49" i="117"/>
  <c r="C21" i="117"/>
  <c r="C14" i="117"/>
  <c r="C5" i="117"/>
  <c r="C3" i="117"/>
  <c r="C94" i="117" s="1"/>
  <c r="C3" i="116"/>
  <c r="C94" i="116" s="1"/>
  <c r="C148" i="116"/>
  <c r="C148" i="1"/>
  <c r="C136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2" i="1"/>
  <c r="C78" i="1"/>
  <c r="C70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18" i="63"/>
  <c r="D19" i="63"/>
  <c r="C94" i="1"/>
  <c r="C3" i="77"/>
  <c r="E3" i="87"/>
  <c r="E91" i="87" s="1"/>
  <c r="C98" i="3"/>
  <c r="O17" i="24" s="1"/>
  <c r="F12" i="64" l="1"/>
  <c r="C81" i="3"/>
  <c r="C57" i="127"/>
  <c r="D34" i="137"/>
  <c r="C55" i="116"/>
  <c r="C60" i="116"/>
  <c r="D86" i="87"/>
  <c r="D87" i="87" s="1"/>
  <c r="D153" i="87"/>
  <c r="C21" i="116"/>
  <c r="C131" i="121"/>
  <c r="C77" i="1"/>
  <c r="C20" i="61" s="1"/>
  <c r="C57" i="141"/>
  <c r="C19" i="1"/>
  <c r="C14" i="1" s="1"/>
  <c r="C7" i="73" s="1"/>
  <c r="D128" i="87"/>
  <c r="O21" i="24"/>
  <c r="H21" i="24" s="1"/>
  <c r="C118" i="3"/>
  <c r="O18" i="24"/>
  <c r="J18" i="24" s="1"/>
  <c r="C82" i="116"/>
  <c r="C57" i="125"/>
  <c r="C14" i="116"/>
  <c r="B28" i="2"/>
  <c r="B40" i="2" s="1"/>
  <c r="E128" i="87"/>
  <c r="C28" i="116"/>
  <c r="C32" i="1"/>
  <c r="C31" i="3"/>
  <c r="O8" i="24" s="1"/>
  <c r="C137" i="3"/>
  <c r="C122" i="1"/>
  <c r="E10" i="61" s="1"/>
  <c r="C66" i="116"/>
  <c r="C40" i="1"/>
  <c r="C89" i="117"/>
  <c r="C65" i="118"/>
  <c r="C68" i="119"/>
  <c r="C58" i="123"/>
  <c r="C57" i="132"/>
  <c r="C57" i="135"/>
  <c r="C76" i="1"/>
  <c r="C19" i="61" s="1"/>
  <c r="C8" i="79"/>
  <c r="C45" i="1"/>
  <c r="C41" i="1"/>
  <c r="C78" i="3"/>
  <c r="C75" i="116"/>
  <c r="C78" i="116"/>
  <c r="C143" i="116"/>
  <c r="C43" i="1"/>
  <c r="C51" i="105"/>
  <c r="C8" i="129"/>
  <c r="C36" i="129" s="1"/>
  <c r="C39" i="1"/>
  <c r="C36" i="133"/>
  <c r="C57" i="136"/>
  <c r="C34" i="137"/>
  <c r="C20" i="79"/>
  <c r="C26" i="105"/>
  <c r="C101" i="116"/>
  <c r="C96" i="116" s="1"/>
  <c r="C96" i="119"/>
  <c r="C132" i="119" s="1"/>
  <c r="C36" i="139"/>
  <c r="C57" i="139"/>
  <c r="C36" i="132"/>
  <c r="C41" i="132" s="1"/>
  <c r="C157" i="121"/>
  <c r="C57" i="126"/>
  <c r="C46" i="1"/>
  <c r="C89" i="118"/>
  <c r="C90" i="118" s="1"/>
  <c r="C58" i="124"/>
  <c r="C36" i="136"/>
  <c r="C41" i="136" s="1"/>
  <c r="C25" i="61"/>
  <c r="C24" i="61" s="1"/>
  <c r="C29" i="1"/>
  <c r="E86" i="87"/>
  <c r="E35" i="137"/>
  <c r="C35" i="137"/>
  <c r="C153" i="87"/>
  <c r="C128" i="87"/>
  <c r="F11" i="62"/>
  <c r="C117" i="116"/>
  <c r="C66" i="1"/>
  <c r="C49" i="116"/>
  <c r="C133" i="3"/>
  <c r="C70" i="116"/>
  <c r="C132" i="116"/>
  <c r="C136" i="116"/>
  <c r="C69" i="3"/>
  <c r="C131" i="120"/>
  <c r="C46" i="79"/>
  <c r="C96" i="118"/>
  <c r="C131" i="118" s="1"/>
  <c r="C8" i="105"/>
  <c r="C42" i="1"/>
  <c r="C45" i="105"/>
  <c r="C36" i="126"/>
  <c r="C158" i="121"/>
  <c r="E87" i="87"/>
  <c r="C40" i="3"/>
  <c r="O9" i="24" s="1"/>
  <c r="I9" i="24" s="1"/>
  <c r="C63" i="3"/>
  <c r="O12" i="24" s="1"/>
  <c r="H12" i="24" s="1"/>
  <c r="E10" i="3"/>
  <c r="C17" i="3"/>
  <c r="O6" i="24" s="1"/>
  <c r="C92" i="120"/>
  <c r="C157" i="120"/>
  <c r="C158" i="120" s="1"/>
  <c r="C37" i="122"/>
  <c r="C37" i="123"/>
  <c r="C42" i="123" s="1"/>
  <c r="C86" i="87"/>
  <c r="C87" i="87" s="1"/>
  <c r="C36" i="131"/>
  <c r="C41" i="131" s="1"/>
  <c r="C36" i="134"/>
  <c r="C48" i="1"/>
  <c r="C44" i="1"/>
  <c r="C31" i="79"/>
  <c r="C102" i="3"/>
  <c r="C96" i="3" s="1"/>
  <c r="C55" i="1"/>
  <c r="C11" i="73" s="1"/>
  <c r="C36" i="141"/>
  <c r="C41" i="141" s="1"/>
  <c r="G16" i="89"/>
  <c r="C58" i="3"/>
  <c r="O11" i="24" s="1"/>
  <c r="C11" i="24" s="1"/>
  <c r="C92" i="119"/>
  <c r="C68" i="120"/>
  <c r="C93" i="120" s="1"/>
  <c r="C92" i="121"/>
  <c r="C37" i="124"/>
  <c r="C36" i="125"/>
  <c r="C57" i="131"/>
  <c r="C45" i="133"/>
  <c r="C57" i="133" s="1"/>
  <c r="C85" i="3"/>
  <c r="C36" i="138"/>
  <c r="F19" i="63"/>
  <c r="C38" i="1"/>
  <c r="C52" i="3"/>
  <c r="O10" i="24" s="1"/>
  <c r="E10" i="24" s="1"/>
  <c r="C24" i="3"/>
  <c r="O7" i="24" s="1"/>
  <c r="C156" i="117"/>
  <c r="C162" i="117" s="1"/>
  <c r="C156" i="118"/>
  <c r="C162" i="118" s="1"/>
  <c r="C68" i="121"/>
  <c r="C93" i="121" s="1"/>
  <c r="C36" i="127"/>
  <c r="C41" i="127" s="1"/>
  <c r="E153" i="87"/>
  <c r="C58" i="122"/>
  <c r="C41" i="122" s="1"/>
  <c r="C57" i="130"/>
  <c r="C36" i="135"/>
  <c r="C41" i="135" s="1"/>
  <c r="C15" i="3"/>
  <c r="D35" i="137"/>
  <c r="C52" i="79"/>
  <c r="C20" i="105"/>
  <c r="C30" i="105"/>
  <c r="C51" i="129"/>
  <c r="C37" i="117"/>
  <c r="C65" i="117" s="1"/>
  <c r="C90" i="117" s="1"/>
  <c r="C57" i="140"/>
  <c r="C132" i="1"/>
  <c r="E21" i="61"/>
  <c r="C150" i="3"/>
  <c r="C73" i="3"/>
  <c r="C36" i="130"/>
  <c r="C37" i="116"/>
  <c r="C45" i="129"/>
  <c r="C57" i="134"/>
  <c r="C40" i="134" s="1"/>
  <c r="H23" i="24"/>
  <c r="M23" i="24"/>
  <c r="N23" i="24"/>
  <c r="L23" i="24"/>
  <c r="I23" i="24"/>
  <c r="C23" i="24"/>
  <c r="J23" i="24"/>
  <c r="G23" i="24"/>
  <c r="D23" i="24"/>
  <c r="E23" i="24"/>
  <c r="F23" i="24"/>
  <c r="K23" i="24"/>
  <c r="C21" i="1"/>
  <c r="C6" i="61" s="1"/>
  <c r="C60" i="1"/>
  <c r="C9" i="61" s="1"/>
  <c r="E4" i="73"/>
  <c r="C4" i="61"/>
  <c r="C49" i="1"/>
  <c r="C8" i="61" s="1"/>
  <c r="C96" i="117"/>
  <c r="C131" i="117" s="1"/>
  <c r="C36" i="140"/>
  <c r="C41" i="140" s="1"/>
  <c r="C98" i="1"/>
  <c r="E7" i="73" s="1"/>
  <c r="C100" i="1"/>
  <c r="E9" i="73" s="1"/>
  <c r="C118" i="1"/>
  <c r="C12" i="116"/>
  <c r="C5" i="116" s="1"/>
  <c r="C45" i="138"/>
  <c r="C57" i="138" s="1"/>
  <c r="C97" i="1"/>
  <c r="E6" i="73" s="1"/>
  <c r="C99" i="1"/>
  <c r="E8" i="73" s="1"/>
  <c r="C120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E25" i="61"/>
  <c r="C143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G21" i="24" l="1"/>
  <c r="M18" i="24"/>
  <c r="C28" i="1"/>
  <c r="C9" i="73" s="1"/>
  <c r="L21" i="24"/>
  <c r="N18" i="24"/>
  <c r="C40" i="125"/>
  <c r="C37" i="125" s="1"/>
  <c r="C41" i="125" s="1"/>
  <c r="E154" i="87"/>
  <c r="C40" i="139"/>
  <c r="C40" i="138" s="1"/>
  <c r="C37" i="138" s="1"/>
  <c r="C41" i="138" s="1"/>
  <c r="C132" i="3"/>
  <c r="C21" i="24"/>
  <c r="H18" i="24"/>
  <c r="C37" i="79"/>
  <c r="C157" i="118"/>
  <c r="C41" i="124"/>
  <c r="C38" i="124" s="1"/>
  <c r="C42" i="124" s="1"/>
  <c r="C36" i="105"/>
  <c r="D154" i="87"/>
  <c r="D21" i="24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61" i="118"/>
  <c r="C57" i="105"/>
  <c r="C40" i="129"/>
  <c r="C37" i="129" s="1"/>
  <c r="C41" i="129" s="1"/>
  <c r="F9" i="24"/>
  <c r="C9" i="24"/>
  <c r="C37" i="1"/>
  <c r="C10" i="73" s="1"/>
  <c r="C92" i="3"/>
  <c r="O13" i="24" s="1"/>
  <c r="I13" i="24" s="1"/>
  <c r="C131" i="116"/>
  <c r="C75" i="1"/>
  <c r="C89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9" i="116"/>
  <c r="H9" i="24"/>
  <c r="C58" i="79"/>
  <c r="C93" i="119"/>
  <c r="E27" i="119" s="1"/>
  <c r="C161" i="117"/>
  <c r="C40" i="126"/>
  <c r="C37" i="126" s="1"/>
  <c r="C41" i="126" s="1"/>
  <c r="M8" i="24"/>
  <c r="G8" i="24"/>
  <c r="H8" i="24"/>
  <c r="I8" i="24"/>
  <c r="D8" i="24"/>
  <c r="J8" i="24"/>
  <c r="K8" i="24"/>
  <c r="C156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7" i="117"/>
  <c r="L10" i="24"/>
  <c r="D10" i="24"/>
  <c r="G10" i="24"/>
  <c r="J10" i="24"/>
  <c r="M10" i="24"/>
  <c r="C65" i="116"/>
  <c r="M9" i="24"/>
  <c r="N9" i="24"/>
  <c r="G9" i="24"/>
  <c r="L9" i="24"/>
  <c r="C156" i="116"/>
  <c r="C12" i="1"/>
  <c r="C5" i="1" s="1"/>
  <c r="C8" i="3"/>
  <c r="C101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E6" i="61"/>
  <c r="E17" i="61" s="1"/>
  <c r="C117" i="1"/>
  <c r="C17" i="61"/>
  <c r="L13" i="24"/>
  <c r="C19" i="73"/>
  <c r="C29" i="73" s="1"/>
  <c r="E31" i="61" l="1"/>
  <c r="D15" i="76" s="1"/>
  <c r="C65" i="1"/>
  <c r="C90" i="1" s="1"/>
  <c r="B8" i="76" s="1"/>
  <c r="J13" i="24"/>
  <c r="C13" i="24"/>
  <c r="E14" i="76"/>
  <c r="N13" i="24"/>
  <c r="K13" i="24"/>
  <c r="D13" i="24"/>
  <c r="G13" i="24"/>
  <c r="E13" i="24"/>
  <c r="F13" i="24"/>
  <c r="M13" i="24"/>
  <c r="H13" i="24"/>
  <c r="C162" i="1"/>
  <c r="D7" i="76"/>
  <c r="E7" i="76" s="1"/>
  <c r="C162" i="116"/>
  <c r="C90" i="116"/>
  <c r="C37" i="130"/>
  <c r="C41" i="130" s="1"/>
  <c r="C31" i="61"/>
  <c r="C40" i="105"/>
  <c r="C37" i="105" s="1"/>
  <c r="C41" i="105" s="1"/>
  <c r="C157" i="116"/>
  <c r="C161" i="116"/>
  <c r="C6" i="73"/>
  <c r="C18" i="73" s="1"/>
  <c r="C30" i="73" s="1"/>
  <c r="D8" i="76" s="1"/>
  <c r="C33" i="61"/>
  <c r="E33" i="61"/>
  <c r="C96" i="1"/>
  <c r="C131" i="1" s="1"/>
  <c r="O5" i="24"/>
  <c r="C68" i="3"/>
  <c r="C93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 l="1"/>
  <c r="C147" i="119"/>
  <c r="C144" i="119" s="1"/>
  <c r="C158" i="119" s="1"/>
  <c r="C159" i="119" s="1"/>
  <c r="F159" i="119" s="1"/>
  <c r="E32" i="73"/>
  <c r="D6" i="76"/>
  <c r="E31" i="73"/>
  <c r="C32" i="73"/>
  <c r="C31" i="73"/>
  <c r="E8" i="76"/>
  <c r="B13" i="76"/>
  <c r="E13" i="76" s="1"/>
  <c r="C161" i="1"/>
  <c r="C157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 l="1"/>
  <c r="C147" i="3"/>
  <c r="C144" i="3" s="1"/>
  <c r="C158" i="3" s="1"/>
  <c r="O24" i="24" s="1"/>
  <c r="O14" i="24"/>
  <c r="C159" i="3" l="1"/>
  <c r="E111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 s="1"/>
</calcChain>
</file>

<file path=xl/sharedStrings.xml><?xml version="1.0" encoding="utf-8"?>
<sst xmlns="http://schemas.openxmlformats.org/spreadsheetml/2006/main" count="5937" uniqueCount="715">
  <si>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</si>
  <si>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</si>
  <si>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</si>
  <si>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</si>
  <si>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</si>
  <si>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</si>
  <si>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</si>
  <si>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</si>
  <si>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</si>
  <si>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</si>
  <si>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</si>
  <si>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</si>
  <si>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</si>
  <si>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</si>
  <si>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</si>
  <si>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</si>
  <si>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</si>
  <si>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</si>
  <si>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</si>
  <si>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</si>
  <si>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</si>
  <si>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</si>
  <si>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</si>
  <si>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</si>
  <si>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</si>
  <si>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</si>
  <si>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</si>
  <si>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</si>
  <si>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</si>
  <si>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</si>
  <si>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</si>
  <si>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</si>
  <si>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</si>
  <si>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</si>
  <si>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</si>
  <si>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</si>
  <si>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</si>
  <si>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</si>
  <si>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</si>
  <si>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</si>
  <si>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</si>
  <si>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</si>
  <si>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</si>
  <si>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</si>
  <si>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</si>
  <si>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</si>
  <si>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</si>
  <si>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</si>
  <si>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</si>
  <si>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</si>
  <si>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</si>
  <si>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</si>
  <si>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</si>
  <si>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</si>
  <si>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</si>
  <si>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</si>
  <si>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</si>
  <si>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</si>
  <si>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</si>
  <si>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</si>
  <si>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</si>
  <si>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</si>
  <si>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</si>
  <si>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</si>
  <si>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</si>
  <si>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</si>
  <si>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</si>
  <si>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</si>
  <si>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</si>
  <si>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</si>
  <si>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</si>
  <si>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</si>
  <si>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</si>
  <si>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</si>
  <si>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</si>
  <si>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</si>
  <si>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</si>
  <si>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</si>
  <si>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</si>
  <si>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</si>
  <si>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</si>
  <si>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</si>
  <si>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</si>
  <si>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</si>
  <si>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</si>
  <si>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</si>
  <si>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</si>
  <si>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</si>
  <si>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</si>
  <si>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</si>
  <si>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</si>
  <si>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</si>
  <si>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</si>
  <si>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</si>
  <si>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</si>
  <si>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</si>
  <si>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</si>
  <si>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</si>
  <si>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</si>
  <si>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</si>
  <si>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</si>
  <si>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</si>
  <si>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</si>
  <si>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</si>
  <si>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</si>
  <si>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</si>
  <si>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</si>
  <si>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</si>
  <si>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</si>
  <si>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</si>
  <si>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</si>
  <si>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</si>
  <si>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</si>
  <si>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</si>
  <si>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</si>
  <si>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</si>
  <si>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</si>
  <si>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</si>
  <si>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</si>
  <si>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</si>
  <si>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</si>
  <si>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</si>
  <si>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</si>
  <si>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</si>
  <si>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</si>
  <si>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</si>
  <si>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</si>
  <si>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</si>
  <si>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</si>
  <si>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</si>
  <si>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</si>
  <si>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</si>
  <si>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</si>
  <si>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</si>
  <si>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</si>
  <si>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</si>
  <si>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</si>
  <si>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</si>
  <si>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</si>
  <si>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</si>
  <si>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</si>
  <si>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</si>
  <si>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</si>
  <si>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</si>
  <si>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</si>
  <si>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</si>
  <si>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</si>
  <si>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</si>
  <si>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</si>
  <si>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</si>
  <si>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</si>
  <si>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</si>
  <si>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</si>
  <si>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</si>
  <si>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</si>
  <si>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</si>
  <si>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</si>
  <si>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</si>
  <si>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</si>
  <si>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</si>
  <si>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</si>
  <si>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</si>
  <si>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</si>
  <si>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</si>
  <si>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</si>
  <si>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</si>
  <si>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</si>
  <si>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</si>
  <si>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</si>
  <si>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</si>
  <si>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</si>
  <si>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</si>
  <si>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</si>
  <si>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</si>
  <si>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</si>
  <si>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</si>
  <si>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</si>
  <si>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</si>
  <si>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</si>
  <si>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</si>
  <si>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</si>
  <si>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</si>
  <si>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</si>
  <si>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</si>
  <si>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</si>
  <si>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</si>
  <si>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</si>
  <si>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</si>
  <si>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</si>
  <si>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</si>
  <si>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</si>
  <si>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</si>
  <si>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</si>
  <si>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</si>
  <si>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</si>
  <si>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</si>
  <si>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</si>
  <si>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</si>
  <si>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</si>
  <si>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</si>
  <si>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</si>
  <si>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</si>
  <si>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</si>
  <si>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</si>
  <si>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</si>
  <si>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</si>
  <si>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</si>
  <si>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</si>
  <si>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</si>
  <si>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</si>
  <si>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</si>
  <si>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</si>
  <si>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</si>
  <si>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</si>
  <si>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</si>
  <si>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</si>
  <si>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</si>
  <si>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</si>
  <si>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</si>
  <si>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</si>
  <si>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</si>
  <si>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</si>
  <si>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</si>
  <si>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</si>
  <si>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</si>
  <si>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</si>
  <si>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</si>
  <si>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</si>
  <si>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</si>
  <si>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</si>
  <si>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</si>
  <si>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</si>
  <si>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</si>
  <si>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</si>
  <si>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</si>
  <si>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</si>
  <si>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</si>
  <si>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</si>
  <si>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</si>
  <si>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</si>
  <si>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</si>
  <si>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</si>
  <si>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</si>
  <si>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</si>
  <si>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</si>
  <si>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</si>
  <si>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</si>
  <si>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</si>
  <si>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</si>
  <si>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</si>
  <si>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</si>
  <si>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</si>
  <si>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</si>
  <si>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</si>
  <si>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</si>
  <si>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</si>
  <si>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</si>
  <si>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</si>
  <si>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</si>
  <si>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</si>
  <si>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</si>
  <si>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</si>
  <si>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</si>
  <si>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</si>
  <si>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</si>
  <si>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</si>
  <si>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</si>
  <si>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</si>
  <si>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</si>
  <si>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</si>
  <si>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</si>
  <si>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</si>
  <si>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</si>
  <si>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</si>
  <si>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</si>
  <si>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</si>
  <si>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</si>
  <si>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</si>
  <si>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</si>
  <si>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</si>
  <si>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</si>
  <si>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</si>
  <si>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</si>
  <si>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</si>
  <si>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</si>
  <si>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</si>
  <si>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</si>
  <si>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</si>
  <si>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</si>
  <si>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</si>
  <si>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</si>
  <si>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</si>
  <si>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</si>
  <si>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</si>
  <si>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</si>
  <si>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</si>
  <si>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</si>
  <si>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</si>
  <si>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</si>
  <si>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</si>
  <si>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</si>
  <si>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</si>
  <si>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</si>
  <si>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</si>
  <si>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</si>
  <si>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</si>
  <si>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</si>
  <si>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</si>
  <si>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</si>
  <si>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</si>
  <si>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</si>
  <si>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</si>
  <si>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</si>
  <si>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</si>
  <si>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</si>
  <si>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</si>
  <si>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</si>
  <si>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</si>
  <si>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</si>
  <si>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</si>
  <si>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</si>
  <si>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</si>
  <si>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</si>
  <si>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</si>
  <si>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</si>
  <si>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</si>
  <si>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</si>
  <si>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</si>
  <si>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</si>
  <si>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</si>
  <si>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</si>
  <si>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</si>
  <si>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</si>
  <si>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</si>
  <si>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</si>
  <si>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</si>
  <si>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</si>
  <si>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</si>
  <si>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</si>
  <si>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</si>
  <si>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</si>
  <si>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</si>
  <si>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</si>
  <si>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</si>
  <si>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</si>
  <si>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</si>
  <si>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</si>
  <si>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</si>
  <si>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</si>
  <si>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</si>
  <si>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</si>
  <si>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</si>
  <si>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</si>
  <si>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</si>
  <si>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</si>
  <si>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</si>
  <si>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</si>
  <si>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</si>
  <si>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</si>
  <si>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</si>
  <si>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</si>
  <si>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</si>
  <si>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</si>
  <si>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</si>
  <si>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</si>
  <si>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</si>
  <si>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</si>
  <si>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</si>
  <si>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</si>
  <si>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</si>
  <si>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</si>
  <si>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</si>
  <si>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</si>
  <si>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</si>
  <si>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</si>
  <si>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</si>
  <si>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</si>
  <si>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</si>
  <si>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</si>
  <si>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</si>
  <si>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</si>
  <si>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</si>
  <si>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</si>
  <si>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</si>
  <si>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</si>
  <si>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</si>
  <si>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</si>
  <si>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</si>
  <si>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</si>
  <si>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</si>
  <si>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</si>
  <si>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</si>
  <si>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</si>
  <si>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</si>
  <si>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</si>
  <si>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</si>
  <si>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</si>
  <si>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</si>
  <si>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</si>
  <si>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</si>
  <si>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</si>
  <si>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</si>
  <si>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</si>
  <si>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</si>
  <si>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</si>
  <si>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</si>
  <si>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</si>
  <si>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</si>
  <si>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</si>
  <si>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</si>
  <si>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</si>
  <si>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</si>
  <si>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</si>
  <si>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</si>
  <si>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</si>
  <si>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</si>
  <si>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</si>
  <si>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</si>
  <si>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</si>
  <si>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</si>
  <si>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</si>
  <si>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</si>
  <si>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</si>
  <si>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</si>
  <si>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</si>
  <si>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</si>
  <si>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</si>
  <si>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</si>
  <si>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</si>
  <si>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</si>
  <si>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</si>
  <si>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</si>
  <si>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</si>
  <si>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</si>
  <si>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</si>
  <si>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</si>
  <si>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</si>
  <si>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</si>
  <si>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</si>
  <si>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</si>
  <si>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</si>
  <si>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</si>
  <si>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</si>
  <si>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</si>
  <si>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</si>
  <si>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</si>
  <si>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</si>
  <si>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</si>
  <si>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</si>
  <si>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</si>
  <si>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</si>
  <si>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</si>
  <si>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</si>
  <si>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</si>
  <si>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</si>
  <si>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</si>
  <si>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</si>
  <si>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</si>
  <si>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</si>
  <si>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</si>
  <si>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</si>
  <si>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</si>
  <si>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</si>
  <si>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</si>
  <si>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</si>
  <si>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</si>
  <si>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</si>
  <si>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</si>
  <si>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</si>
  <si>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</si>
  <si>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</si>
  <si>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</si>
  <si>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</si>
  <si>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</si>
  <si>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</si>
  <si>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</si>
  <si>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</si>
  <si>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</si>
  <si>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</si>
  <si>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</si>
  <si>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</si>
  <si>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</si>
  <si>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</si>
  <si>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</si>
  <si>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</si>
  <si>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</si>
  <si>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</si>
  <si>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</si>
  <si>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</si>
  <si>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</si>
  <si>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</si>
  <si>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</si>
  <si>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</si>
  <si>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</si>
  <si>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</si>
  <si>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</si>
  <si>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</si>
  <si>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</si>
  <si>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</si>
  <si>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</si>
  <si>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</si>
  <si>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</si>
  <si>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</si>
  <si>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</si>
  <si>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</si>
  <si>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</si>
  <si>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</si>
  <si>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</si>
  <si>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</si>
  <si>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</si>
  <si>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</si>
  <si>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</si>
  <si>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</si>
  <si>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</si>
  <si>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</si>
  <si>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</si>
  <si>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</si>
  <si>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</si>
  <si>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</si>
  <si>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</si>
  <si>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</si>
  <si>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</si>
  <si>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</si>
  <si>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</si>
  <si>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</si>
  <si>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</si>
  <si>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</si>
  <si>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</si>
  <si>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</si>
  <si>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</si>
  <si>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</si>
  <si>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</si>
  <si>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</si>
  <si>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</si>
  <si>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</si>
  <si>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</si>
  <si>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</si>
  <si>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</si>
  <si>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</si>
  <si>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</si>
  <si>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</si>
  <si>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</si>
  <si>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</si>
  <si>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</si>
  <si>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</si>
  <si>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</si>
  <si>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</si>
  <si>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</si>
  <si>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</si>
  <si>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</si>
  <si>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</si>
  <si>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</si>
  <si>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</si>
  <si>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</si>
  <si>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</si>
  <si>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</si>
  <si>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</si>
  <si>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</si>
  <si>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</si>
  <si>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</si>
  <si>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</si>
  <si>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</si>
  <si>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</si>
  <si>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Működésének támogatása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</si>
  <si>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</si>
  <si>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</si>
  <si>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</si>
  <si>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</si>
  <si>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</si>
  <si>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</si>
  <si>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</si>
  <si>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</si>
  <si>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</si>
  <si>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</si>
  <si>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</si>
  <si>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</si>
  <si>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</si>
  <si>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</si>
  <si>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</si>
  <si>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</si>
  <si>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</si>
  <si>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</si>
  <si>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</si>
  <si>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</si>
  <si>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</si>
  <si>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</si>
  <si>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</si>
  <si>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</si>
  <si>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</si>
  <si>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</si>
  <si>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</si>
  <si>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</si>
  <si>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</si>
  <si>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</si>
  <si>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</si>
  <si>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</si>
  <si>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</si>
  <si>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</si>
  <si>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</si>
  <si>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</si>
  <si>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</si>
  <si>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</si>
  <si>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</si>
  <si>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</si>
  <si>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sport</t>
  </si>
  <si>
    <t>hiány</t>
  </si>
  <si>
    <t>Nagyértékű gépek beszerzése közmunka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</si>
  <si>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</si>
  <si>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</si>
  <si>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</si>
  <si>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</si>
  <si>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</si>
  <si>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</si>
  <si>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</si>
  <si>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</si>
  <si>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</si>
  <si>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</si>
  <si>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Eu</t>
  </si>
  <si>
    <t>Kommunális adó</t>
  </si>
  <si>
    <t>4.8.</t>
  </si>
  <si>
    <t>Kommunnális adó</t>
  </si>
  <si>
    <t>TOP 4.3.1. pályázat beruházás</t>
  </si>
  <si>
    <t>TOP 1.2.1. pályázat beruházás</t>
  </si>
  <si>
    <t>TOP 2.1.3. pályázat beruházás</t>
  </si>
  <si>
    <t>TOP 3.2.2. pályázat beruházás</t>
  </si>
  <si>
    <t>Ibrány Város Önkormányzata és intézményei</t>
  </si>
  <si>
    <t>34.</t>
  </si>
  <si>
    <t>Tánc</t>
  </si>
  <si>
    <t>helytört</t>
  </si>
  <si>
    <t>Ibrány jövő</t>
  </si>
  <si>
    <t>RFE</t>
  </si>
  <si>
    <t>TOP-1.2.1-15-SB1-2016-00016 A Rétköz turisztikai kínálatának integrált fejlesztése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</si>
  <si>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</si>
  <si>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</si>
  <si>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</si>
  <si>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</si>
  <si>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</si>
  <si>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</si>
  <si>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</si>
  <si>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</si>
  <si>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</si>
  <si>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Kult.pótlék+bérkomp</t>
  </si>
  <si>
    <t>szoc. Ág+bérkomp</t>
  </si>
  <si>
    <t>Ebrendészeti telep kialakítása</t>
  </si>
  <si>
    <t>TOP 5.3.1. pályázat beruházás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</si>
  <si>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</si>
  <si>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</si>
  <si>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</si>
  <si>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</si>
  <si>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</si>
  <si>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</si>
  <si>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</si>
  <si>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</si>
  <si>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</si>
  <si>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</si>
  <si>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</si>
  <si>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</si>
  <si>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</si>
  <si>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</si>
  <si>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</si>
  <si>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</si>
  <si>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</si>
  <si>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</si>
  <si>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</si>
  <si>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</si>
  <si>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</si>
  <si>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</si>
  <si>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1314/3. hrsz-ú ingatlan vásárlás kamat</t>
  </si>
  <si>
    <t>Lízingszerződés autóvásárláshoz kapcsolódóan - tőke</t>
  </si>
  <si>
    <t>Lízingszerződés autóvásárláshoz kapcsolódóan -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</si>
  <si>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</si>
  <si>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</si>
  <si>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</si>
  <si>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</si>
  <si>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</si>
  <si>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</si>
  <si>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</si>
  <si>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</si>
  <si>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</si>
  <si>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</si>
  <si>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</si>
  <si>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</si>
  <si>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</si>
  <si>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</si>
  <si>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</si>
  <si>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</si>
  <si>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Síremlék Berencsi Béla</t>
  </si>
  <si>
    <t>TOP-5.3.1-16-SB1-2017-00005 Víz halad, a kő marad - A társadalmi koházió erősítése Ibrányban</t>
  </si>
  <si>
    <t>2020. évi előirányzat BEVÉTELEK</t>
  </si>
  <si>
    <t>2020. évi előirányzat</t>
  </si>
  <si>
    <t>Az önkormányzat által adott közvetett támogatások 2020. évben
(kedvezmények)</t>
  </si>
  <si>
    <t>2020</t>
  </si>
  <si>
    <t>TOP 1.1.1. pályázat beruházás</t>
  </si>
  <si>
    <t>TOP 2.1.2. pályázat beruházás</t>
  </si>
  <si>
    <t>Busz beszerzés</t>
  </si>
  <si>
    <t>Kisfaludy pályázat</t>
  </si>
  <si>
    <t>Szociális bérlakás felújítása</t>
  </si>
  <si>
    <t>Civil szervezetek támogatása</t>
  </si>
  <si>
    <t>Sportegyesületek támogatása</t>
  </si>
  <si>
    <t>2025</t>
  </si>
  <si>
    <t>2031</t>
  </si>
  <si>
    <t>2020. Éves eredeti kiadási előirányzat: 1 887 331 778 Ft</t>
  </si>
  <si>
    <t>TOP-1.1.1-15-SB1-2016-00014 Az északi és déli iparterület feljesztése Ibrányban</t>
  </si>
  <si>
    <t>TOP-2.1.2-15-SB1-2017-00031 Zöld város kialakítása Ibrányban</t>
  </si>
  <si>
    <t>TOP-1.3.1-15-SB1-2016-00001 Közlekedésfejlesztés Szabolcs-Szatmár-Bereg megyében</t>
  </si>
  <si>
    <t>a) 65. életéveét betöltött egyedül élő nőnek, férfinak, a korhatár elérését követő évtől (409 fő)</t>
  </si>
  <si>
    <t>b) 70. életévüket(mindketten) betöltött házaspárnak, a korhatár elérését követő évtől (259 fő)</t>
  </si>
  <si>
    <t>Aki saját háztartásában 3, vagy több kikorú gyermek eltartásáról gondoskodik (126 fő)</t>
  </si>
  <si>
    <t>Települési önkormányzatok egyes szociális és gyermekjóléti feladatainak támogatása</t>
  </si>
  <si>
    <t>Települési önkormányzatok gyermekétkeztetési feladatainak támogatása</t>
  </si>
  <si>
    <t>Települési önkormányzatok egyes köznevelési feladatainak támogatása</t>
  </si>
  <si>
    <t>Települési önkormányzatok kulturális feladatainak támogatása</t>
  </si>
  <si>
    <t>1.3.1</t>
  </si>
  <si>
    <t>1.3.2</t>
  </si>
  <si>
    <t>Települési önkormányzatok szociális és gyermekjóléti, étkeztetési feladatainak támogatása összesen (1.3.1+1.3.2 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</si>
</sst>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2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  <font>
      <b/>
      <sz val="8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27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5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Fill="1" applyBorder="1" applyAlignment="1" applyProtection="1">
      <alignment horizontal="center" vertical="center" wrapText="1"/>
    </xf>
    <xf numFmtId="49" fontId="15" fillId="0" borderId="26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0" fillId="0" borderId="26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1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30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12" sqref="A12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688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2020.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zoomScale="120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0" t="s">
        <v>552</v>
      </c>
      <c r="B1" s="680"/>
      <c r="C1" s="680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2020.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125515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10200</v>
      </c>
    </row>
    <row r="9" spans="1:4" x14ac:dyDescent="0.25">
      <c r="A9" s="190" t="s">
        <v>19</v>
      </c>
      <c r="B9" s="393" t="s">
        <v>237</v>
      </c>
      <c r="C9" s="355">
        <v>3300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89" t="s">
        <v>188</v>
      </c>
      <c r="B11" s="690"/>
      <c r="C11" s="191">
        <f>SUM(C5:C10)</f>
        <v>139015</v>
      </c>
    </row>
    <row r="12" spans="1:4" ht="23.25" customHeight="1" x14ac:dyDescent="0.25">
      <c r="A12" s="691" t="s">
        <v>211</v>
      </c>
      <c r="B12" s="691"/>
      <c r="C12" s="691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.../2020.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zoomScale="120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0" t="str">
        <f>+CONCATENATE("Ibrány Város Önkormányzata ",CONCATENATE(LEFT(ÖSSZEFÜGGÉSEK!A5,4),". évi adósságot keletkeztető fejlesztési céljai"))</f>
        <v>Ibrány Város Önkormányzata 2020. évi adósságot keletkeztető fejlesztési céljai</v>
      </c>
      <c r="B1" s="680"/>
      <c r="C1" s="680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0"/>
      <c r="C5" s="192"/>
    </row>
    <row r="6" spans="1:4" x14ac:dyDescent="0.25">
      <c r="A6" s="189" t="s">
        <v>16</v>
      </c>
      <c r="B6" s="571"/>
      <c r="C6" s="193"/>
    </row>
    <row r="7" spans="1:4" ht="15.75" thickBot="1" x14ac:dyDescent="0.3">
      <c r="A7" s="190" t="s">
        <v>17</v>
      </c>
      <c r="B7" s="571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..../2020.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"/>
  <sheetViews>
    <sheetView topLeftCell="A4" zoomScaleNormal="100" workbookViewId="0">
      <selection activeCell="E20" sqref="E20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692" t="s">
        <v>0</v>
      </c>
      <c r="B1" s="692"/>
      <c r="C1" s="692"/>
      <c r="D1" s="692"/>
      <c r="E1" s="692"/>
      <c r="F1" s="692"/>
    </row>
    <row r="2" spans="1:6" ht="22.5" customHeight="1" thickBot="1" x14ac:dyDescent="0.3">
      <c r="A2" s="197"/>
      <c r="B2" s="58"/>
      <c r="C2" s="58"/>
      <c r="D2" s="58"/>
      <c r="E2" s="58"/>
      <c r="F2" s="569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2019. XII. 31-ig</v>
      </c>
      <c r="E3" s="199" t="str">
        <f>+'1.1.sz.mell.'!C3</f>
        <v>2020. évi előirányzat</v>
      </c>
      <c r="F3" s="55" t="str">
        <f>+CONCATENATE(LEFT(ÖSSZEFÜGGÉSEK!A5,4),". utáni szükséglet")</f>
        <v>2020.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549</v>
      </c>
    </row>
    <row r="5" spans="1:6" ht="15.95" customHeight="1" x14ac:dyDescent="0.2">
      <c r="A5" s="482" t="s">
        <v>606</v>
      </c>
      <c r="B5" s="25">
        <v>8747</v>
      </c>
      <c r="C5" s="483" t="s">
        <v>691</v>
      </c>
      <c r="D5" s="25"/>
      <c r="E5" s="25">
        <v>8747</v>
      </c>
      <c r="F5" s="59">
        <f>B5-D5-E5</f>
        <v>0</v>
      </c>
    </row>
    <row r="6" spans="1:6" ht="15.95" customHeight="1" x14ac:dyDescent="0.2">
      <c r="A6" s="482" t="s">
        <v>598</v>
      </c>
      <c r="B6" s="25"/>
      <c r="C6" s="483" t="s">
        <v>691</v>
      </c>
      <c r="D6" s="25"/>
      <c r="E6" s="25"/>
      <c r="F6" s="59">
        <f>B6-D6-E6</f>
        <v>0</v>
      </c>
    </row>
    <row r="7" spans="1:6" x14ac:dyDescent="0.2">
      <c r="A7" s="576" t="s">
        <v>599</v>
      </c>
      <c r="B7" s="25">
        <v>2000</v>
      </c>
      <c r="C7" s="483" t="s">
        <v>691</v>
      </c>
      <c r="D7" s="25"/>
      <c r="E7" s="25">
        <v>2000</v>
      </c>
      <c r="F7" s="59">
        <f t="shared" ref="F7:F18" si="0">B7-D7-E7</f>
        <v>0</v>
      </c>
    </row>
    <row r="8" spans="1:6" ht="15.95" customHeight="1" x14ac:dyDescent="0.2">
      <c r="A8" s="576" t="s">
        <v>621</v>
      </c>
      <c r="B8" s="25">
        <v>159997</v>
      </c>
      <c r="C8" s="483" t="s">
        <v>691</v>
      </c>
      <c r="D8" s="25"/>
      <c r="E8" s="25">
        <v>159997</v>
      </c>
      <c r="F8" s="59">
        <f t="shared" si="0"/>
        <v>0</v>
      </c>
    </row>
    <row r="9" spans="1:6" ht="15.95" customHeight="1" x14ac:dyDescent="0.2">
      <c r="A9" s="576" t="s">
        <v>692</v>
      </c>
      <c r="B9" s="25">
        <v>78979</v>
      </c>
      <c r="C9" s="483" t="s">
        <v>691</v>
      </c>
      <c r="D9" s="25"/>
      <c r="E9" s="25">
        <v>78979</v>
      </c>
      <c r="F9" s="59">
        <f t="shared" si="0"/>
        <v>0</v>
      </c>
    </row>
    <row r="10" spans="1:6" ht="15.95" customHeight="1" x14ac:dyDescent="0.2">
      <c r="A10" s="576" t="s">
        <v>622</v>
      </c>
      <c r="B10" s="25">
        <v>40508</v>
      </c>
      <c r="C10" s="483" t="s">
        <v>691</v>
      </c>
      <c r="D10" s="25"/>
      <c r="E10" s="25">
        <v>40508</v>
      </c>
      <c r="F10" s="59">
        <f t="shared" si="0"/>
        <v>0</v>
      </c>
    </row>
    <row r="11" spans="1:6" ht="15.95" customHeight="1" x14ac:dyDescent="0.2">
      <c r="A11" s="576" t="s">
        <v>644</v>
      </c>
      <c r="B11" s="25">
        <v>2056</v>
      </c>
      <c r="C11" s="483" t="s">
        <v>691</v>
      </c>
      <c r="D11" s="25"/>
      <c r="E11" s="25">
        <v>2056</v>
      </c>
      <c r="F11" s="59">
        <f t="shared" si="0"/>
        <v>0</v>
      </c>
    </row>
    <row r="12" spans="1:6" ht="15.95" customHeight="1" x14ac:dyDescent="0.2">
      <c r="A12" s="576" t="s">
        <v>623</v>
      </c>
      <c r="B12" s="25">
        <v>5446</v>
      </c>
      <c r="C12" s="483" t="s">
        <v>691</v>
      </c>
      <c r="D12" s="25"/>
      <c r="E12" s="25">
        <v>5446</v>
      </c>
      <c r="F12" s="59">
        <f t="shared" si="0"/>
        <v>0</v>
      </c>
    </row>
    <row r="13" spans="1:6" ht="15.95" customHeight="1" x14ac:dyDescent="0.2">
      <c r="A13" s="576" t="s">
        <v>693</v>
      </c>
      <c r="B13" s="25">
        <v>239395</v>
      </c>
      <c r="C13" s="483" t="s">
        <v>691</v>
      </c>
      <c r="D13" s="25"/>
      <c r="E13" s="25">
        <v>239395</v>
      </c>
      <c r="F13" s="59">
        <f t="shared" si="0"/>
        <v>0</v>
      </c>
    </row>
    <row r="14" spans="1:6" ht="15.95" customHeight="1" x14ac:dyDescent="0.2">
      <c r="A14" s="667" t="s">
        <v>624</v>
      </c>
      <c r="B14" s="25">
        <v>60157</v>
      </c>
      <c r="C14" s="483" t="s">
        <v>691</v>
      </c>
      <c r="D14" s="25"/>
      <c r="E14" s="25">
        <v>60157</v>
      </c>
      <c r="F14" s="59">
        <f t="shared" si="0"/>
        <v>0</v>
      </c>
    </row>
    <row r="15" spans="1:6" ht="15.95" customHeight="1" x14ac:dyDescent="0.2">
      <c r="A15" s="667" t="s">
        <v>694</v>
      </c>
      <c r="B15" s="25">
        <v>25387</v>
      </c>
      <c r="C15" s="483" t="s">
        <v>691</v>
      </c>
      <c r="D15" s="25"/>
      <c r="E15" s="25">
        <v>25387</v>
      </c>
      <c r="F15" s="59">
        <f t="shared" si="0"/>
        <v>0</v>
      </c>
    </row>
    <row r="16" spans="1:6" ht="15.95" customHeight="1" x14ac:dyDescent="0.2">
      <c r="A16" s="562" t="s">
        <v>695</v>
      </c>
      <c r="B16" s="25">
        <v>28800</v>
      </c>
      <c r="C16" s="483" t="s">
        <v>691</v>
      </c>
      <c r="D16" s="25"/>
      <c r="E16" s="25">
        <v>28800</v>
      </c>
      <c r="F16" s="59">
        <f t="shared" si="0"/>
        <v>0</v>
      </c>
    </row>
    <row r="17" spans="1:6" ht="15.95" customHeight="1" x14ac:dyDescent="0.2">
      <c r="A17" s="585" t="s">
        <v>686</v>
      </c>
      <c r="B17" s="26">
        <v>4000</v>
      </c>
      <c r="C17" s="484" t="s">
        <v>691</v>
      </c>
      <c r="D17" s="26"/>
      <c r="E17" s="26">
        <v>4000</v>
      </c>
      <c r="F17" s="61">
        <f t="shared" si="0"/>
        <v>0</v>
      </c>
    </row>
    <row r="18" spans="1:6" ht="15.95" customHeight="1" thickBot="1" x14ac:dyDescent="0.25">
      <c r="A18" s="60"/>
      <c r="B18" s="26"/>
      <c r="C18" s="484" t="s">
        <v>691</v>
      </c>
      <c r="D18" s="26"/>
      <c r="E18" s="26"/>
      <c r="F18" s="61">
        <f t="shared" si="0"/>
        <v>0</v>
      </c>
    </row>
    <row r="19" spans="1:6" s="64" customFormat="1" ht="18" customHeight="1" thickBot="1" x14ac:dyDescent="0.25">
      <c r="A19" s="200" t="s">
        <v>61</v>
      </c>
      <c r="B19" s="62">
        <f>+B5+B7+B8+B9+B10+B11+B12+B13+B14+B15+B16+B17</f>
        <v>655472</v>
      </c>
      <c r="C19" s="127"/>
      <c r="D19" s="62">
        <f>SUM(D5:D18)</f>
        <v>0</v>
      </c>
      <c r="E19" s="62">
        <f>+E5+E7+E8+E9+E10+E11+E12+E13+E14+E15+E16+E17</f>
        <v>655472</v>
      </c>
      <c r="F19" s="63">
        <f>SUM(F5:F18)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../2020.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E7" sqref="E7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692" t="s">
        <v>1</v>
      </c>
      <c r="B1" s="692"/>
      <c r="C1" s="692"/>
      <c r="D1" s="692"/>
      <c r="E1" s="692"/>
      <c r="F1" s="692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2019. XII. 31-ig</v>
      </c>
      <c r="E3" s="199" t="str">
        <f>+'6.sz.mell.'!E3</f>
        <v>2020. évi előirányzat</v>
      </c>
      <c r="F3" s="525" t="str">
        <f>+CONCATENATE(LEFT(ÖSSZEFÜGGÉSEK!A5,4),". utáni szükséglet ",CHAR(10),"")</f>
        <v xml:space="preserve">2020.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549</v>
      </c>
    </row>
    <row r="5" spans="1:6" ht="15.95" customHeight="1" x14ac:dyDescent="0.2">
      <c r="A5" s="65" t="s">
        <v>643</v>
      </c>
      <c r="B5" s="66">
        <v>3175</v>
      </c>
      <c r="C5" s="485" t="s">
        <v>691</v>
      </c>
      <c r="D5" s="66"/>
      <c r="E5" s="66">
        <v>3175</v>
      </c>
      <c r="F5" s="67">
        <f t="shared" ref="F5:F11" si="0">B5-D5-E5</f>
        <v>0</v>
      </c>
    </row>
    <row r="6" spans="1:6" ht="15.95" customHeight="1" x14ac:dyDescent="0.2">
      <c r="A6" s="65" t="s">
        <v>696</v>
      </c>
      <c r="B6" s="66">
        <v>23146</v>
      </c>
      <c r="C6" s="485" t="s">
        <v>691</v>
      </c>
      <c r="D6" s="66"/>
      <c r="E6" s="66">
        <v>23146</v>
      </c>
      <c r="F6" s="67">
        <f t="shared" si="0"/>
        <v>0</v>
      </c>
    </row>
    <row r="7" spans="1:6" ht="15.95" customHeight="1" x14ac:dyDescent="0.2">
      <c r="A7" s="65"/>
      <c r="B7" s="66"/>
      <c r="C7" s="485"/>
      <c r="D7" s="66"/>
      <c r="E7" s="66"/>
      <c r="F7" s="67">
        <f t="shared" si="0"/>
        <v>0</v>
      </c>
    </row>
    <row r="8" spans="1:6" ht="15.95" customHeight="1" x14ac:dyDescent="0.2">
      <c r="A8" s="65"/>
      <c r="B8" s="66"/>
      <c r="C8" s="485"/>
      <c r="D8" s="66"/>
      <c r="E8" s="66"/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26321</v>
      </c>
      <c r="C12" s="128"/>
      <c r="D12" s="201">
        <f>SUM(D5:D11)</f>
        <v>0</v>
      </c>
      <c r="E12" s="201">
        <f>SUM(E5:E11)</f>
        <v>26321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.../2020.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7"/>
  <sheetViews>
    <sheetView view="pageLayout" topLeftCell="A205" zoomScaleNormal="100" workbookViewId="0">
      <selection activeCell="D221" sqref="D221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3" t="s">
        <v>133</v>
      </c>
      <c r="B4" s="693" t="s">
        <v>631</v>
      </c>
      <c r="C4" s="693"/>
      <c r="D4" s="693"/>
      <c r="E4" s="693"/>
    </row>
    <row r="5" spans="1:5" ht="14.25" thickBot="1" x14ac:dyDescent="0.3">
      <c r="A5" s="222"/>
      <c r="B5" s="222"/>
      <c r="C5" s="222"/>
      <c r="D5" s="694" t="s">
        <v>126</v>
      </c>
      <c r="E5" s="694"/>
    </row>
    <row r="6" spans="1:5" ht="13.5" thickBot="1" x14ac:dyDescent="0.25">
      <c r="A6" s="223" t="s">
        <v>125</v>
      </c>
      <c r="B6" s="224">
        <v>2018</v>
      </c>
      <c r="C6" s="224">
        <v>2019</v>
      </c>
      <c r="D6" s="224">
        <v>2020</v>
      </c>
      <c r="E6" s="225" t="s">
        <v>48</v>
      </c>
    </row>
    <row r="7" spans="1:5" x14ac:dyDescent="0.2">
      <c r="A7" s="226" t="s">
        <v>127</v>
      </c>
      <c r="B7" s="90"/>
      <c r="C7" s="90"/>
      <c r="D7" s="90">
        <v>2446</v>
      </c>
      <c r="E7" s="227">
        <f t="shared" ref="E7:E13" si="0">SUM(B7:D7)</f>
        <v>2446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/>
      <c r="D9" s="92">
        <v>49995</v>
      </c>
      <c r="E9" s="231">
        <f t="shared" si="0"/>
        <v>49995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0</v>
      </c>
      <c r="D14" s="233">
        <f>D7+SUM(D9:D13)</f>
        <v>52441</v>
      </c>
      <c r="E14" s="234">
        <f>E7+SUM(E9:E13)</f>
        <v>52441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2018</v>
      </c>
      <c r="C16" s="224">
        <f>+C6</f>
        <v>2019</v>
      </c>
      <c r="D16" s="224">
        <f>+D6</f>
        <v>2020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/>
      <c r="D18" s="92">
        <v>51445</v>
      </c>
      <c r="E18" s="231">
        <f t="shared" si="1"/>
        <v>51445</v>
      </c>
    </row>
    <row r="19" spans="1:5" x14ac:dyDescent="0.2">
      <c r="A19" s="230" t="s">
        <v>137</v>
      </c>
      <c r="B19" s="92"/>
      <c r="C19" s="92"/>
      <c r="D19" s="92">
        <v>996</v>
      </c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0</v>
      </c>
      <c r="D24" s="233">
        <f>SUM(D17:D23)</f>
        <v>52441</v>
      </c>
      <c r="E24" s="234">
        <f>SUM(E17:E23)</f>
        <v>52441</v>
      </c>
    </row>
    <row r="25" spans="1:5" x14ac:dyDescent="0.2">
      <c r="A25" s="581"/>
      <c r="B25" s="582"/>
      <c r="C25" s="582"/>
      <c r="D25" s="582"/>
      <c r="E25" s="582"/>
    </row>
    <row r="26" spans="1:5" x14ac:dyDescent="0.2">
      <c r="A26" s="581"/>
      <c r="B26" s="582"/>
      <c r="C26" s="582"/>
      <c r="D26" s="582"/>
      <c r="E26" s="582"/>
    </row>
    <row r="27" spans="1:5" x14ac:dyDescent="0.2">
      <c r="A27" s="581"/>
      <c r="B27" s="582"/>
      <c r="C27" s="582"/>
      <c r="D27" s="582"/>
      <c r="E27" s="582"/>
    </row>
    <row r="28" spans="1:5" ht="29.25" customHeight="1" x14ac:dyDescent="0.2">
      <c r="A28" s="583" t="s">
        <v>133</v>
      </c>
      <c r="B28" s="693" t="s">
        <v>632</v>
      </c>
      <c r="C28" s="693"/>
      <c r="D28" s="693"/>
      <c r="E28" s="693"/>
    </row>
    <row r="29" spans="1:5" ht="14.25" thickBot="1" x14ac:dyDescent="0.3">
      <c r="A29" s="222"/>
      <c r="B29" s="222"/>
      <c r="C29" s="222"/>
      <c r="D29" s="694" t="s">
        <v>126</v>
      </c>
      <c r="E29" s="694"/>
    </row>
    <row r="30" spans="1:5" ht="13.5" thickBot="1" x14ac:dyDescent="0.25">
      <c r="A30" s="223" t="s">
        <v>125</v>
      </c>
      <c r="B30" s="224">
        <v>2018</v>
      </c>
      <c r="C30" s="224">
        <v>2019</v>
      </c>
      <c r="D30" s="224">
        <v>2020</v>
      </c>
      <c r="E30" s="225" t="s">
        <v>48</v>
      </c>
    </row>
    <row r="31" spans="1:5" x14ac:dyDescent="0.2">
      <c r="A31" s="226" t="s">
        <v>127</v>
      </c>
      <c r="B31" s="90"/>
      <c r="C31" s="90">
        <f>+C48-C33</f>
        <v>0</v>
      </c>
      <c r="D31" s="90">
        <v>4093</v>
      </c>
      <c r="E31" s="227">
        <f t="shared" ref="E31:E37" si="2">SUM(B31:D31)</f>
        <v>4093</v>
      </c>
    </row>
    <row r="32" spans="1:5" x14ac:dyDescent="0.2">
      <c r="A32" s="228" t="s">
        <v>139</v>
      </c>
      <c r="B32" s="91"/>
      <c r="C32" s="91"/>
      <c r="D32" s="91"/>
      <c r="E32" s="229">
        <f t="shared" si="2"/>
        <v>0</v>
      </c>
    </row>
    <row r="33" spans="1:5" x14ac:dyDescent="0.2">
      <c r="A33" s="230" t="s">
        <v>128</v>
      </c>
      <c r="B33" s="92"/>
      <c r="C33" s="92"/>
      <c r="D33" s="92">
        <v>7175</v>
      </c>
      <c r="E33" s="231">
        <f t="shared" si="2"/>
        <v>7175</v>
      </c>
    </row>
    <row r="34" spans="1:5" x14ac:dyDescent="0.2">
      <c r="A34" s="230" t="s">
        <v>140</v>
      </c>
      <c r="B34" s="92"/>
      <c r="C34" s="92"/>
      <c r="D34" s="92"/>
      <c r="E34" s="231">
        <f t="shared" si="2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2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2"/>
        <v>0</v>
      </c>
    </row>
    <row r="37" spans="1:5" ht="13.5" thickBot="1" x14ac:dyDescent="0.25">
      <c r="A37" s="93"/>
      <c r="B37" s="94"/>
      <c r="C37" s="94"/>
      <c r="D37" s="94"/>
      <c r="E37" s="231">
        <f t="shared" si="2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0</v>
      </c>
      <c r="D38" s="233">
        <f>D31+SUM(D33:D37)</f>
        <v>11268</v>
      </c>
      <c r="E38" s="234">
        <f>E31+SUM(E33:E37)</f>
        <v>11268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2018</v>
      </c>
      <c r="C40" s="224">
        <f>+C30</f>
        <v>2019</v>
      </c>
      <c r="D40" s="224">
        <f>+D30</f>
        <v>2020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3">SUM(B41:D41)</f>
        <v>0</v>
      </c>
    </row>
    <row r="42" spans="1:5" x14ac:dyDescent="0.2">
      <c r="A42" s="235" t="s">
        <v>136</v>
      </c>
      <c r="B42" s="92"/>
      <c r="C42" s="92"/>
      <c r="D42" s="92">
        <v>6916</v>
      </c>
      <c r="E42" s="231">
        <f t="shared" si="3"/>
        <v>6916</v>
      </c>
    </row>
    <row r="43" spans="1:5" x14ac:dyDescent="0.2">
      <c r="A43" s="230" t="s">
        <v>137</v>
      </c>
      <c r="B43" s="92"/>
      <c r="C43" s="92"/>
      <c r="D43" s="92">
        <v>4352</v>
      </c>
      <c r="E43" s="231">
        <f t="shared" si="3"/>
        <v>4352</v>
      </c>
    </row>
    <row r="44" spans="1:5" x14ac:dyDescent="0.2">
      <c r="A44" s="230" t="s">
        <v>138</v>
      </c>
      <c r="B44" s="92"/>
      <c r="C44" s="92"/>
      <c r="D44" s="92"/>
      <c r="E44" s="231">
        <f t="shared" si="3"/>
        <v>0</v>
      </c>
    </row>
    <row r="45" spans="1:5" x14ac:dyDescent="0.2">
      <c r="A45" s="95"/>
      <c r="B45" s="92"/>
      <c r="C45" s="92"/>
      <c r="D45" s="92"/>
      <c r="E45" s="231">
        <f t="shared" si="3"/>
        <v>0</v>
      </c>
    </row>
    <row r="46" spans="1:5" x14ac:dyDescent="0.2">
      <c r="A46" s="95"/>
      <c r="B46" s="92"/>
      <c r="C46" s="92"/>
      <c r="D46" s="92"/>
      <c r="E46" s="231">
        <f t="shared" si="3"/>
        <v>0</v>
      </c>
    </row>
    <row r="47" spans="1:5" ht="13.5" thickBot="1" x14ac:dyDescent="0.25">
      <c r="A47" s="93"/>
      <c r="B47" s="94"/>
      <c r="C47" s="94"/>
      <c r="D47" s="94"/>
      <c r="E47" s="231">
        <f t="shared" si="3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0</v>
      </c>
      <c r="D48" s="233">
        <f>SUM(D41:D47)</f>
        <v>11268</v>
      </c>
      <c r="E48" s="234">
        <f>SUM(E41:E47)</f>
        <v>11268</v>
      </c>
    </row>
    <row r="49" spans="1:5" x14ac:dyDescent="0.2">
      <c r="A49" s="581"/>
      <c r="B49" s="582"/>
      <c r="C49" s="582"/>
      <c r="D49" s="582"/>
      <c r="E49" s="582"/>
    </row>
    <row r="50" spans="1:5" x14ac:dyDescent="0.2">
      <c r="A50" s="581"/>
      <c r="B50" s="582"/>
      <c r="C50" s="582"/>
      <c r="D50" s="582"/>
      <c r="E50" s="582"/>
    </row>
    <row r="51" spans="1:5" ht="28.5" customHeight="1" x14ac:dyDescent="0.2">
      <c r="A51" s="583" t="s">
        <v>133</v>
      </c>
      <c r="B51" s="693" t="s">
        <v>633</v>
      </c>
      <c r="C51" s="693"/>
      <c r="D51" s="693"/>
      <c r="E51" s="693"/>
    </row>
    <row r="52" spans="1:5" ht="14.25" thickBot="1" x14ac:dyDescent="0.3">
      <c r="A52" s="222"/>
      <c r="B52" s="222"/>
      <c r="C52" s="222"/>
      <c r="D52" s="694" t="s">
        <v>126</v>
      </c>
      <c r="E52" s="694"/>
    </row>
    <row r="53" spans="1:5" ht="13.5" thickBot="1" x14ac:dyDescent="0.25">
      <c r="A53" s="223" t="s">
        <v>125</v>
      </c>
      <c r="B53" s="224">
        <f>+B40</f>
        <v>2018</v>
      </c>
      <c r="C53" s="224">
        <f>+C40</f>
        <v>2019</v>
      </c>
      <c r="D53" s="224">
        <f>+D40</f>
        <v>2020</v>
      </c>
      <c r="E53" s="225" t="s">
        <v>48</v>
      </c>
    </row>
    <row r="54" spans="1:5" x14ac:dyDescent="0.2">
      <c r="A54" s="226" t="s">
        <v>127</v>
      </c>
      <c r="B54" s="90"/>
      <c r="C54" s="90">
        <f>+C71-C56</f>
        <v>11949</v>
      </c>
      <c r="D54" s="90">
        <v>500</v>
      </c>
      <c r="E54" s="227">
        <f t="shared" ref="E54:E60" si="4">SUM(B54:D54)</f>
        <v>12449</v>
      </c>
    </row>
    <row r="55" spans="1:5" x14ac:dyDescent="0.2">
      <c r="A55" s="228" t="s">
        <v>139</v>
      </c>
      <c r="B55" s="91"/>
      <c r="C55" s="91"/>
      <c r="D55" s="91"/>
      <c r="E55" s="229">
        <f t="shared" si="4"/>
        <v>0</v>
      </c>
    </row>
    <row r="56" spans="1:5" x14ac:dyDescent="0.2">
      <c r="A56" s="230" t="s">
        <v>128</v>
      </c>
      <c r="B56" s="92"/>
      <c r="C56" s="92">
        <v>81317</v>
      </c>
      <c r="D56" s="92">
        <v>3053</v>
      </c>
      <c r="E56" s="231">
        <f t="shared" si="4"/>
        <v>84370</v>
      </c>
    </row>
    <row r="57" spans="1:5" x14ac:dyDescent="0.2">
      <c r="A57" s="230" t="s">
        <v>140</v>
      </c>
      <c r="B57" s="92"/>
      <c r="C57" s="92"/>
      <c r="D57" s="92"/>
      <c r="E57" s="231">
        <f t="shared" si="4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4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4"/>
        <v>0</v>
      </c>
    </row>
    <row r="60" spans="1:5" ht="13.5" thickBot="1" x14ac:dyDescent="0.25">
      <c r="A60" s="93"/>
      <c r="B60" s="94"/>
      <c r="C60" s="94"/>
      <c r="D60" s="94"/>
      <c r="E60" s="231">
        <f t="shared" si="4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93266</v>
      </c>
      <c r="D61" s="233">
        <f>D54+SUM(D56:D60)</f>
        <v>3553</v>
      </c>
      <c r="E61" s="234">
        <f>E54+SUM(E56:E60)</f>
        <v>96819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2018</v>
      </c>
      <c r="C63" s="224">
        <f>+C53</f>
        <v>2019</v>
      </c>
      <c r="D63" s="224">
        <f>+D53</f>
        <v>2020</v>
      </c>
      <c r="E63" s="225" t="s">
        <v>48</v>
      </c>
    </row>
    <row r="64" spans="1:5" x14ac:dyDescent="0.2">
      <c r="A64" s="226" t="s">
        <v>135</v>
      </c>
      <c r="B64" s="90"/>
      <c r="C64" s="90"/>
      <c r="D64" s="90">
        <v>1905</v>
      </c>
      <c r="E64" s="227">
        <f t="shared" ref="E64:E70" si="5">SUM(B64:D64)</f>
        <v>1905</v>
      </c>
    </row>
    <row r="65" spans="1:5" x14ac:dyDescent="0.2">
      <c r="A65" s="235" t="s">
        <v>136</v>
      </c>
      <c r="B65" s="92"/>
      <c r="C65" s="92">
        <v>90917</v>
      </c>
      <c r="D65" s="92"/>
      <c r="E65" s="231">
        <f t="shared" si="5"/>
        <v>90917</v>
      </c>
    </row>
    <row r="66" spans="1:5" x14ac:dyDescent="0.2">
      <c r="A66" s="230" t="s">
        <v>137</v>
      </c>
      <c r="B66" s="92"/>
      <c r="C66" s="92">
        <v>2349</v>
      </c>
      <c r="D66" s="92">
        <v>1648</v>
      </c>
      <c r="E66" s="231">
        <f t="shared" si="5"/>
        <v>3997</v>
      </c>
    </row>
    <row r="67" spans="1:5" x14ac:dyDescent="0.2">
      <c r="A67" s="230" t="s">
        <v>138</v>
      </c>
      <c r="B67" s="92"/>
      <c r="C67" s="92"/>
      <c r="D67" s="92"/>
      <c r="E67" s="231">
        <f t="shared" si="5"/>
        <v>0</v>
      </c>
    </row>
    <row r="68" spans="1:5" x14ac:dyDescent="0.2">
      <c r="A68" s="95"/>
      <c r="B68" s="92"/>
      <c r="C68" s="92"/>
      <c r="D68" s="92"/>
      <c r="E68" s="231">
        <f t="shared" si="5"/>
        <v>0</v>
      </c>
    </row>
    <row r="69" spans="1:5" x14ac:dyDescent="0.2">
      <c r="A69" s="95"/>
      <c r="B69" s="92"/>
      <c r="C69" s="92"/>
      <c r="D69" s="92"/>
      <c r="E69" s="231">
        <f t="shared" si="5"/>
        <v>0</v>
      </c>
    </row>
    <row r="70" spans="1:5" ht="13.5" thickBot="1" x14ac:dyDescent="0.25">
      <c r="A70" s="93"/>
      <c r="B70" s="94"/>
      <c r="C70" s="94"/>
      <c r="D70" s="94"/>
      <c r="E70" s="231">
        <f t="shared" si="5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93266</v>
      </c>
      <c r="D71" s="233">
        <f>SUM(D64:D70)</f>
        <v>3553</v>
      </c>
      <c r="E71" s="234">
        <f>SUM(E64:E70)</f>
        <v>96819</v>
      </c>
    </row>
    <row r="72" spans="1:5" x14ac:dyDescent="0.2">
      <c r="A72" s="581"/>
      <c r="B72" s="582"/>
      <c r="C72" s="582"/>
      <c r="D72" s="582"/>
      <c r="E72" s="582"/>
    </row>
    <row r="73" spans="1:5" x14ac:dyDescent="0.2">
      <c r="A73" s="581"/>
      <c r="B73" s="582"/>
      <c r="C73" s="582"/>
      <c r="D73" s="582"/>
      <c r="E73" s="582"/>
    </row>
    <row r="74" spans="1:5" ht="29.25" customHeight="1" x14ac:dyDescent="0.2">
      <c r="A74" s="583" t="s">
        <v>133</v>
      </c>
      <c r="B74" s="693" t="s">
        <v>634</v>
      </c>
      <c r="C74" s="693"/>
      <c r="D74" s="693"/>
      <c r="E74" s="693"/>
    </row>
    <row r="75" spans="1:5" ht="14.25" thickBot="1" x14ac:dyDescent="0.3">
      <c r="A75" s="222"/>
      <c r="B75" s="222"/>
      <c r="C75" s="222"/>
      <c r="D75" s="694" t="s">
        <v>126</v>
      </c>
      <c r="E75" s="694"/>
    </row>
    <row r="76" spans="1:5" ht="13.5" thickBot="1" x14ac:dyDescent="0.25">
      <c r="A76" s="223" t="s">
        <v>125</v>
      </c>
      <c r="B76" s="224">
        <f>+B63</f>
        <v>2018</v>
      </c>
      <c r="C76" s="224">
        <f>+C63</f>
        <v>2019</v>
      </c>
      <c r="D76" s="224">
        <f>+D63</f>
        <v>2020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6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6"/>
        <v>0</v>
      </c>
    </row>
    <row r="79" spans="1:5" x14ac:dyDescent="0.2">
      <c r="A79" s="230" t="s">
        <v>128</v>
      </c>
      <c r="B79" s="92"/>
      <c r="C79" s="92"/>
      <c r="D79" s="92">
        <v>83999</v>
      </c>
      <c r="E79" s="231">
        <f t="shared" si="6"/>
        <v>83999</v>
      </c>
    </row>
    <row r="80" spans="1:5" x14ac:dyDescent="0.2">
      <c r="A80" s="230" t="s">
        <v>140</v>
      </c>
      <c r="B80" s="92"/>
      <c r="C80" s="92"/>
      <c r="D80" s="92"/>
      <c r="E80" s="231">
        <f t="shared" si="6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6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6"/>
        <v>0</v>
      </c>
    </row>
    <row r="83" spans="1:5" ht="13.5" thickBot="1" x14ac:dyDescent="0.25">
      <c r="A83" s="93"/>
      <c r="B83" s="94"/>
      <c r="C83" s="94"/>
      <c r="D83" s="94"/>
      <c r="E83" s="231">
        <f t="shared" si="6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0</v>
      </c>
      <c r="D84" s="233">
        <f>D77+SUM(D79:D83)</f>
        <v>83999</v>
      </c>
      <c r="E84" s="234">
        <f>E77+SUM(E79:E83)</f>
        <v>83999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2018</v>
      </c>
      <c r="C86" s="224">
        <f>+C76</f>
        <v>2019</v>
      </c>
      <c r="D86" s="224">
        <f>+D76</f>
        <v>2020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7">SUM(B87:D87)</f>
        <v>0</v>
      </c>
    </row>
    <row r="88" spans="1:5" x14ac:dyDescent="0.2">
      <c r="A88" s="235" t="s">
        <v>136</v>
      </c>
      <c r="B88" s="92"/>
      <c r="C88" s="92"/>
      <c r="D88" s="92">
        <v>75884</v>
      </c>
      <c r="E88" s="231">
        <f t="shared" si="7"/>
        <v>75884</v>
      </c>
    </row>
    <row r="89" spans="1:5" x14ac:dyDescent="0.2">
      <c r="A89" s="230" t="s">
        <v>137</v>
      </c>
      <c r="B89" s="92"/>
      <c r="C89" s="92"/>
      <c r="D89" s="92">
        <v>8115</v>
      </c>
      <c r="E89" s="231">
        <f t="shared" si="7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7"/>
        <v>0</v>
      </c>
    </row>
    <row r="91" spans="1:5" x14ac:dyDescent="0.2">
      <c r="A91" s="95"/>
      <c r="B91" s="92"/>
      <c r="C91" s="92"/>
      <c r="D91" s="92"/>
      <c r="E91" s="231">
        <f t="shared" si="7"/>
        <v>0</v>
      </c>
    </row>
    <row r="92" spans="1:5" x14ac:dyDescent="0.2">
      <c r="A92" s="95"/>
      <c r="B92" s="92"/>
      <c r="C92" s="92"/>
      <c r="D92" s="92"/>
      <c r="E92" s="231">
        <f t="shared" si="7"/>
        <v>0</v>
      </c>
    </row>
    <row r="93" spans="1:5" ht="13.5" thickBot="1" x14ac:dyDescent="0.25">
      <c r="A93" s="93"/>
      <c r="B93" s="94"/>
      <c r="C93" s="94"/>
      <c r="D93" s="94"/>
      <c r="E93" s="231">
        <f t="shared" si="7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0</v>
      </c>
      <c r="D94" s="233">
        <f>SUM(D87:D93)</f>
        <v>83999</v>
      </c>
      <c r="E94" s="234">
        <f>SUM(E87:E93)</f>
        <v>83999</v>
      </c>
    </row>
    <row r="95" spans="1:5" x14ac:dyDescent="0.2">
      <c r="A95" s="581"/>
      <c r="B95" s="582"/>
      <c r="C95" s="582"/>
      <c r="D95" s="582"/>
      <c r="E95" s="582"/>
    </row>
    <row r="96" spans="1:5" x14ac:dyDescent="0.2">
      <c r="A96" s="581"/>
      <c r="B96" s="582"/>
      <c r="C96" s="582"/>
      <c r="D96" s="582"/>
      <c r="E96" s="582"/>
    </row>
    <row r="97" spans="1:5" ht="32.25" customHeight="1" x14ac:dyDescent="0.2">
      <c r="A97" s="583" t="s">
        <v>133</v>
      </c>
      <c r="B97" s="693" t="s">
        <v>635</v>
      </c>
      <c r="C97" s="693"/>
      <c r="D97" s="693"/>
      <c r="E97" s="693"/>
    </row>
    <row r="98" spans="1:5" ht="14.25" thickBot="1" x14ac:dyDescent="0.3">
      <c r="A98" s="222"/>
      <c r="B98" s="222"/>
      <c r="C98" s="222"/>
      <c r="D98" s="694" t="s">
        <v>126</v>
      </c>
      <c r="E98" s="694"/>
    </row>
    <row r="99" spans="1:5" ht="13.5" thickBot="1" x14ac:dyDescent="0.25">
      <c r="A99" s="223" t="s">
        <v>125</v>
      </c>
      <c r="B99" s="224">
        <f>+B86</f>
        <v>2018</v>
      </c>
      <c r="C99" s="224">
        <f>+C86</f>
        <v>2019</v>
      </c>
      <c r="D99" s="224">
        <f>+D86</f>
        <v>2020</v>
      </c>
      <c r="E99" s="225" t="s">
        <v>48</v>
      </c>
    </row>
    <row r="100" spans="1:5" x14ac:dyDescent="0.2">
      <c r="A100" s="226" t="s">
        <v>127</v>
      </c>
      <c r="B100" s="90"/>
      <c r="C100" s="90">
        <f>+C117-C102</f>
        <v>-3794</v>
      </c>
      <c r="D100" s="90"/>
      <c r="E100" s="227">
        <f t="shared" ref="E100:E106" si="8">SUM(B100:D100)</f>
        <v>-3794</v>
      </c>
    </row>
    <row r="101" spans="1:5" x14ac:dyDescent="0.2">
      <c r="A101" s="228" t="s">
        <v>139</v>
      </c>
      <c r="B101" s="91"/>
      <c r="C101" s="91"/>
      <c r="D101" s="91"/>
      <c r="E101" s="229">
        <f t="shared" si="8"/>
        <v>0</v>
      </c>
    </row>
    <row r="102" spans="1:5" x14ac:dyDescent="0.2">
      <c r="A102" s="230" t="s">
        <v>128</v>
      </c>
      <c r="B102" s="92"/>
      <c r="C102" s="92">
        <v>289036</v>
      </c>
      <c r="D102" s="92"/>
      <c r="E102" s="231">
        <f t="shared" si="8"/>
        <v>289036</v>
      </c>
    </row>
    <row r="103" spans="1:5" x14ac:dyDescent="0.2">
      <c r="A103" s="230" t="s">
        <v>140</v>
      </c>
      <c r="B103" s="92"/>
      <c r="C103" s="92"/>
      <c r="D103" s="92"/>
      <c r="E103" s="231">
        <f t="shared" si="8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8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8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8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285242</v>
      </c>
      <c r="D107" s="233">
        <f>D100+SUM(D102:D106)</f>
        <v>0</v>
      </c>
      <c r="E107" s="234">
        <f>E100+SUM(E102:E106)</f>
        <v>285242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2018</v>
      </c>
      <c r="C109" s="224">
        <f>+C99</f>
        <v>2019</v>
      </c>
      <c r="D109" s="224">
        <f>+D99</f>
        <v>2020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9">SUM(B110:D110)</f>
        <v>0</v>
      </c>
    </row>
    <row r="111" spans="1:5" x14ac:dyDescent="0.2">
      <c r="A111" s="235" t="s">
        <v>136</v>
      </c>
      <c r="B111" s="92"/>
      <c r="C111" s="92">
        <v>278985</v>
      </c>
      <c r="D111" s="92"/>
      <c r="E111" s="231">
        <f t="shared" si="9"/>
        <v>278985</v>
      </c>
    </row>
    <row r="112" spans="1:5" x14ac:dyDescent="0.2">
      <c r="A112" s="230" t="s">
        <v>137</v>
      </c>
      <c r="B112" s="92"/>
      <c r="C112" s="92">
        <v>6257</v>
      </c>
      <c r="D112" s="92"/>
      <c r="E112" s="231">
        <f t="shared" si="9"/>
        <v>6257</v>
      </c>
    </row>
    <row r="113" spans="1:5" x14ac:dyDescent="0.2">
      <c r="A113" s="230" t="s">
        <v>138</v>
      </c>
      <c r="B113" s="92"/>
      <c r="C113" s="92"/>
      <c r="D113" s="92"/>
      <c r="E113" s="231">
        <f t="shared" si="9"/>
        <v>0</v>
      </c>
    </row>
    <row r="114" spans="1:5" x14ac:dyDescent="0.2">
      <c r="A114" s="95"/>
      <c r="B114" s="92"/>
      <c r="C114" s="92"/>
      <c r="D114" s="92"/>
      <c r="E114" s="231">
        <f t="shared" si="9"/>
        <v>0</v>
      </c>
    </row>
    <row r="115" spans="1:5" x14ac:dyDescent="0.2">
      <c r="A115" s="95"/>
      <c r="B115" s="92"/>
      <c r="C115" s="92"/>
      <c r="D115" s="92"/>
      <c r="E115" s="231">
        <f t="shared" si="9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9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285242</v>
      </c>
      <c r="D117" s="233">
        <f>SUM(D110:D116)</f>
        <v>0</v>
      </c>
      <c r="E117" s="234">
        <f>SUM(E110:E116)</f>
        <v>285242</v>
      </c>
    </row>
    <row r="118" spans="1:5" x14ac:dyDescent="0.2">
      <c r="A118" s="581"/>
      <c r="B118" s="582"/>
      <c r="C118" s="582"/>
      <c r="D118" s="582"/>
      <c r="E118" s="582"/>
    </row>
    <row r="119" spans="1:5" x14ac:dyDescent="0.2">
      <c r="A119" s="581"/>
      <c r="B119" s="582"/>
      <c r="C119" s="582"/>
      <c r="D119" s="582"/>
      <c r="E119" s="582"/>
    </row>
    <row r="120" spans="1:5" ht="40.5" customHeight="1" x14ac:dyDescent="0.2">
      <c r="A120" s="583" t="s">
        <v>133</v>
      </c>
      <c r="B120" s="693" t="s">
        <v>636</v>
      </c>
      <c r="C120" s="693"/>
      <c r="D120" s="693"/>
      <c r="E120" s="693"/>
    </row>
    <row r="121" spans="1:5" ht="14.25" thickBot="1" x14ac:dyDescent="0.3">
      <c r="A121" s="222"/>
      <c r="B121" s="222"/>
      <c r="C121" s="222"/>
      <c r="D121" s="694" t="s">
        <v>126</v>
      </c>
      <c r="E121" s="694"/>
    </row>
    <row r="122" spans="1:5" ht="13.5" thickBot="1" x14ac:dyDescent="0.25">
      <c r="A122" s="223" t="s">
        <v>125</v>
      </c>
      <c r="B122" s="224">
        <f>+B109</f>
        <v>2018</v>
      </c>
      <c r="C122" s="224">
        <f>+C109</f>
        <v>2019</v>
      </c>
      <c r="D122" s="224">
        <f>+D109</f>
        <v>2020</v>
      </c>
      <c r="E122" s="225" t="s">
        <v>48</v>
      </c>
    </row>
    <row r="123" spans="1:5" x14ac:dyDescent="0.2">
      <c r="A123" s="226" t="s">
        <v>127</v>
      </c>
      <c r="B123" s="90"/>
      <c r="C123" s="90"/>
      <c r="D123" s="90"/>
      <c r="E123" s="227">
        <f t="shared" ref="E123:E129" si="10">SUM(B123:D123)</f>
        <v>0</v>
      </c>
    </row>
    <row r="124" spans="1:5" x14ac:dyDescent="0.2">
      <c r="A124" s="228" t="s">
        <v>139</v>
      </c>
      <c r="B124" s="91"/>
      <c r="C124" s="91"/>
      <c r="D124" s="91"/>
      <c r="E124" s="229">
        <f t="shared" si="10"/>
        <v>0</v>
      </c>
    </row>
    <row r="125" spans="1:5" x14ac:dyDescent="0.2">
      <c r="A125" s="230" t="s">
        <v>128</v>
      </c>
      <c r="B125" s="92">
        <f>+B140-B123</f>
        <v>0</v>
      </c>
      <c r="C125" s="92"/>
      <c r="D125" s="92">
        <f>+D140-D123</f>
        <v>206105</v>
      </c>
      <c r="E125" s="231">
        <f t="shared" si="10"/>
        <v>206105</v>
      </c>
    </row>
    <row r="126" spans="1:5" x14ac:dyDescent="0.2">
      <c r="A126" s="230" t="s">
        <v>140</v>
      </c>
      <c r="B126" s="92"/>
      <c r="C126" s="92"/>
      <c r="D126" s="92"/>
      <c r="E126" s="231">
        <f t="shared" si="10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0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0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0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0</v>
      </c>
      <c r="D130" s="233">
        <f>D123+SUM(D125:D129)</f>
        <v>206105</v>
      </c>
      <c r="E130" s="234">
        <f>E123+SUM(E125:E129)</f>
        <v>206105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2018</v>
      </c>
      <c r="C132" s="224">
        <f>+C122</f>
        <v>2019</v>
      </c>
      <c r="D132" s="224">
        <f>+D122</f>
        <v>2020</v>
      </c>
      <c r="E132" s="225" t="s">
        <v>48</v>
      </c>
    </row>
    <row r="133" spans="1:5" x14ac:dyDescent="0.2">
      <c r="A133" s="226" t="s">
        <v>135</v>
      </c>
      <c r="B133" s="90"/>
      <c r="C133" s="90"/>
      <c r="D133" s="90">
        <v>1534</v>
      </c>
      <c r="E133" s="227">
        <f t="shared" ref="E133:E139" si="11">SUM(B133:D133)</f>
        <v>1534</v>
      </c>
    </row>
    <row r="134" spans="1:5" x14ac:dyDescent="0.2">
      <c r="A134" s="235" t="s">
        <v>136</v>
      </c>
      <c r="B134" s="92"/>
      <c r="C134" s="92"/>
      <c r="D134" s="92">
        <v>198314</v>
      </c>
      <c r="E134" s="231">
        <f t="shared" si="11"/>
        <v>198314</v>
      </c>
    </row>
    <row r="135" spans="1:5" x14ac:dyDescent="0.2">
      <c r="A135" s="230" t="s">
        <v>137</v>
      </c>
      <c r="B135" s="92"/>
      <c r="C135" s="92"/>
      <c r="D135" s="92">
        <v>6257</v>
      </c>
      <c r="E135" s="231">
        <f t="shared" si="11"/>
        <v>6257</v>
      </c>
    </row>
    <row r="136" spans="1:5" x14ac:dyDescent="0.2">
      <c r="A136" s="230" t="s">
        <v>138</v>
      </c>
      <c r="B136" s="92"/>
      <c r="C136" s="92"/>
      <c r="D136" s="92"/>
      <c r="E136" s="231">
        <f t="shared" si="11"/>
        <v>0</v>
      </c>
    </row>
    <row r="137" spans="1:5" x14ac:dyDescent="0.2">
      <c r="A137" s="95"/>
      <c r="B137" s="92"/>
      <c r="C137" s="92"/>
      <c r="D137" s="92"/>
      <c r="E137" s="231">
        <f t="shared" si="11"/>
        <v>0</v>
      </c>
    </row>
    <row r="138" spans="1:5" x14ac:dyDescent="0.2">
      <c r="A138" s="95"/>
      <c r="B138" s="92"/>
      <c r="C138" s="92"/>
      <c r="D138" s="92"/>
      <c r="E138" s="231">
        <f t="shared" si="11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1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0</v>
      </c>
      <c r="D140" s="233">
        <f>SUM(D133:D139)</f>
        <v>206105</v>
      </c>
      <c r="E140" s="234">
        <f>SUM(E133:E139)</f>
        <v>206105</v>
      </c>
    </row>
    <row r="141" spans="1:5" x14ac:dyDescent="0.2">
      <c r="A141" s="581"/>
      <c r="B141" s="582"/>
      <c r="C141" s="582"/>
      <c r="D141" s="582"/>
      <c r="E141" s="582"/>
    </row>
    <row r="142" spans="1:5" x14ac:dyDescent="0.2">
      <c r="A142" s="581"/>
      <c r="B142" s="582"/>
      <c r="C142" s="582"/>
      <c r="D142" s="582"/>
      <c r="E142" s="582"/>
    </row>
    <row r="143" spans="1:5" ht="42" customHeight="1" x14ac:dyDescent="0.2">
      <c r="A143" s="583" t="s">
        <v>133</v>
      </c>
      <c r="B143" s="693" t="s">
        <v>637</v>
      </c>
      <c r="C143" s="693"/>
      <c r="D143" s="693"/>
      <c r="E143" s="693"/>
    </row>
    <row r="144" spans="1:5" ht="14.25" thickBot="1" x14ac:dyDescent="0.3">
      <c r="A144" s="222"/>
      <c r="B144" s="222"/>
      <c r="C144" s="222"/>
      <c r="D144" s="694" t="s">
        <v>126</v>
      </c>
      <c r="E144" s="694"/>
    </row>
    <row r="145" spans="1:5" ht="13.5" thickBot="1" x14ac:dyDescent="0.25">
      <c r="A145" s="223" t="s">
        <v>125</v>
      </c>
      <c r="B145" s="224">
        <f>+B132</f>
        <v>2018</v>
      </c>
      <c r="C145" s="224">
        <f>+C132</f>
        <v>2019</v>
      </c>
      <c r="D145" s="224">
        <f>+D132</f>
        <v>2020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>
        <v>5380</v>
      </c>
      <c r="E146" s="227">
        <f t="shared" ref="E146:E152" si="12">SUM(B146:D146)</f>
        <v>7051</v>
      </c>
    </row>
    <row r="147" spans="1:5" x14ac:dyDescent="0.2">
      <c r="A147" s="228" t="s">
        <v>139</v>
      </c>
      <c r="B147" s="91"/>
      <c r="C147" s="91"/>
      <c r="D147" s="91"/>
      <c r="E147" s="229">
        <f t="shared" si="12"/>
        <v>0</v>
      </c>
    </row>
    <row r="148" spans="1:5" x14ac:dyDescent="0.2">
      <c r="A148" s="230" t="s">
        <v>128</v>
      </c>
      <c r="B148" s="92"/>
      <c r="C148" s="92">
        <v>29323</v>
      </c>
      <c r="D148" s="92">
        <v>59472</v>
      </c>
      <c r="E148" s="231">
        <f t="shared" si="12"/>
        <v>88795</v>
      </c>
    </row>
    <row r="149" spans="1:5" x14ac:dyDescent="0.2">
      <c r="A149" s="230" t="s">
        <v>140</v>
      </c>
      <c r="B149" s="92"/>
      <c r="C149" s="92"/>
      <c r="D149" s="92"/>
      <c r="E149" s="231">
        <f t="shared" si="12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2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2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2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64852</v>
      </c>
      <c r="E153" s="234">
        <f>E146+SUM(E148:E152)</f>
        <v>95846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2018</v>
      </c>
      <c r="C155" s="224">
        <f>+C145</f>
        <v>2019</v>
      </c>
      <c r="D155" s="224">
        <f>+D145</f>
        <v>2020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>
        <v>16612</v>
      </c>
      <c r="E156" s="227">
        <f t="shared" ref="E156:E162" si="13">SUM(B156:D156)</f>
        <v>28354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3"/>
        <v>19252</v>
      </c>
    </row>
    <row r="158" spans="1:5" x14ac:dyDescent="0.2">
      <c r="A158" s="230" t="s">
        <v>137</v>
      </c>
      <c r="B158" s="92"/>
      <c r="C158" s="92"/>
      <c r="D158" s="92">
        <v>48240</v>
      </c>
      <c r="E158" s="231">
        <f t="shared" si="13"/>
        <v>48240</v>
      </c>
    </row>
    <row r="159" spans="1:5" x14ac:dyDescent="0.2">
      <c r="A159" s="230" t="s">
        <v>138</v>
      </c>
      <c r="B159" s="92"/>
      <c r="C159" s="92"/>
      <c r="D159" s="92"/>
      <c r="E159" s="231">
        <f t="shared" si="13"/>
        <v>0</v>
      </c>
    </row>
    <row r="160" spans="1:5" x14ac:dyDescent="0.2">
      <c r="A160" s="95"/>
      <c r="B160" s="92"/>
      <c r="C160" s="92"/>
      <c r="D160" s="92"/>
      <c r="E160" s="231">
        <f t="shared" si="13"/>
        <v>0</v>
      </c>
    </row>
    <row r="161" spans="1:5" x14ac:dyDescent="0.2">
      <c r="A161" s="95"/>
      <c r="B161" s="92"/>
      <c r="C161" s="92"/>
      <c r="D161" s="92"/>
      <c r="E161" s="231">
        <f t="shared" si="13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3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64852</v>
      </c>
      <c r="E163" s="234">
        <f>SUM(E156:E162)</f>
        <v>95846</v>
      </c>
    </row>
    <row r="164" spans="1:5" x14ac:dyDescent="0.2">
      <c r="A164" s="581"/>
      <c r="B164" s="582"/>
      <c r="C164" s="582"/>
      <c r="D164" s="582"/>
      <c r="E164" s="582"/>
    </row>
    <row r="165" spans="1:5" x14ac:dyDescent="0.2">
      <c r="A165" s="581"/>
      <c r="B165" s="582"/>
      <c r="C165" s="582"/>
      <c r="D165" s="582"/>
      <c r="E165" s="582"/>
    </row>
    <row r="166" spans="1:5" ht="36.75" customHeight="1" x14ac:dyDescent="0.2">
      <c r="A166" s="583" t="s">
        <v>133</v>
      </c>
      <c r="B166" s="693" t="s">
        <v>687</v>
      </c>
      <c r="C166" s="693"/>
      <c r="D166" s="693"/>
      <c r="E166" s="693"/>
    </row>
    <row r="167" spans="1:5" ht="14.25" thickBot="1" x14ac:dyDescent="0.3">
      <c r="A167" s="222"/>
      <c r="B167" s="222"/>
      <c r="C167" s="222"/>
      <c r="D167" s="694" t="s">
        <v>126</v>
      </c>
      <c r="E167" s="694"/>
    </row>
    <row r="168" spans="1:5" ht="13.5" thickBot="1" x14ac:dyDescent="0.25">
      <c r="A168" s="223" t="s">
        <v>125</v>
      </c>
      <c r="B168" s="224">
        <f>+B155</f>
        <v>2018</v>
      </c>
      <c r="C168" s="224">
        <f>+C155</f>
        <v>2019</v>
      </c>
      <c r="D168" s="224">
        <f>+D155</f>
        <v>2020</v>
      </c>
      <c r="E168" s="225" t="s">
        <v>48</v>
      </c>
    </row>
    <row r="169" spans="1:5" x14ac:dyDescent="0.2">
      <c r="A169" s="226" t="s">
        <v>127</v>
      </c>
      <c r="B169" s="90"/>
      <c r="C169" s="90">
        <f>+C186-C171</f>
        <v>-625</v>
      </c>
      <c r="D169" s="90"/>
      <c r="E169" s="227">
        <f t="shared" ref="E169:E175" si="14">SUM(B169:D169)</f>
        <v>-625</v>
      </c>
    </row>
    <row r="170" spans="1:5" x14ac:dyDescent="0.2">
      <c r="A170" s="228" t="s">
        <v>139</v>
      </c>
      <c r="B170" s="91"/>
      <c r="C170" s="91"/>
      <c r="D170" s="91"/>
      <c r="E170" s="229">
        <f t="shared" si="14"/>
        <v>0</v>
      </c>
    </row>
    <row r="171" spans="1:5" x14ac:dyDescent="0.2">
      <c r="A171" s="230" t="s">
        <v>128</v>
      </c>
      <c r="B171" s="92"/>
      <c r="C171" s="92">
        <v>8834</v>
      </c>
      <c r="D171" s="92">
        <v>11820</v>
      </c>
      <c r="E171" s="231">
        <f t="shared" si="14"/>
        <v>20654</v>
      </c>
    </row>
    <row r="172" spans="1:5" x14ac:dyDescent="0.2">
      <c r="A172" s="230" t="s">
        <v>140</v>
      </c>
      <c r="B172" s="92"/>
      <c r="C172" s="92"/>
      <c r="D172" s="92"/>
      <c r="E172" s="231">
        <f t="shared" si="14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4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4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4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8209</v>
      </c>
      <c r="D176" s="233">
        <f>D169+SUM(D171:D175)</f>
        <v>11820</v>
      </c>
      <c r="E176" s="234">
        <f>E169+SUM(E171:E175)</f>
        <v>20029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2018</v>
      </c>
      <c r="C178" s="224">
        <f>+C168</f>
        <v>2019</v>
      </c>
      <c r="D178" s="224">
        <f>+D168</f>
        <v>2020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>
        <v>682</v>
      </c>
      <c r="E179" s="227">
        <f t="shared" ref="E179:E185" si="15">SUM(B179:D179)</f>
        <v>682</v>
      </c>
    </row>
    <row r="180" spans="1:5" x14ac:dyDescent="0.2">
      <c r="A180" s="235" t="s">
        <v>136</v>
      </c>
      <c r="B180" s="92"/>
      <c r="C180" s="92">
        <v>2056</v>
      </c>
      <c r="D180" s="92">
        <v>2056</v>
      </c>
      <c r="E180" s="231">
        <f t="shared" si="15"/>
        <v>4112</v>
      </c>
    </row>
    <row r="181" spans="1:5" x14ac:dyDescent="0.2">
      <c r="A181" s="230" t="s">
        <v>137</v>
      </c>
      <c r="B181" s="92"/>
      <c r="C181" s="92">
        <v>6153</v>
      </c>
      <c r="D181" s="92">
        <v>9082</v>
      </c>
      <c r="E181" s="231">
        <f t="shared" si="15"/>
        <v>15235</v>
      </c>
    </row>
    <row r="182" spans="1:5" x14ac:dyDescent="0.2">
      <c r="A182" s="230" t="s">
        <v>138</v>
      </c>
      <c r="B182" s="92"/>
      <c r="C182" s="92"/>
      <c r="D182" s="92"/>
      <c r="E182" s="231">
        <f t="shared" si="15"/>
        <v>0</v>
      </c>
    </row>
    <row r="183" spans="1:5" x14ac:dyDescent="0.2">
      <c r="A183" s="95"/>
      <c r="B183" s="92"/>
      <c r="C183" s="92"/>
      <c r="D183" s="92"/>
      <c r="E183" s="231">
        <f t="shared" si="15"/>
        <v>0</v>
      </c>
    </row>
    <row r="184" spans="1:5" x14ac:dyDescent="0.2">
      <c r="A184" s="95"/>
      <c r="B184" s="92"/>
      <c r="C184" s="92"/>
      <c r="D184" s="92"/>
      <c r="E184" s="231">
        <f t="shared" si="15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5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8209</v>
      </c>
      <c r="D186" s="233">
        <f>SUM(D179:D185)</f>
        <v>11820</v>
      </c>
      <c r="E186" s="234">
        <f>SUM(E179:E185)</f>
        <v>20029</v>
      </c>
    </row>
    <row r="194" spans="1:5" ht="37.5" customHeight="1" x14ac:dyDescent="0.2">
      <c r="A194" s="583" t="s">
        <v>133</v>
      </c>
      <c r="B194" s="693" t="s">
        <v>702</v>
      </c>
      <c r="C194" s="693"/>
      <c r="D194" s="693"/>
      <c r="E194" s="693"/>
    </row>
    <row r="195" spans="1:5" ht="14.25" thickBot="1" x14ac:dyDescent="0.3">
      <c r="A195" s="222"/>
      <c r="B195" s="222"/>
      <c r="C195" s="222"/>
      <c r="D195" s="694" t="s">
        <v>126</v>
      </c>
      <c r="E195" s="694"/>
    </row>
    <row r="196" spans="1:5" ht="13.5" thickBot="1" x14ac:dyDescent="0.25">
      <c r="A196" s="223" t="s">
        <v>125</v>
      </c>
      <c r="B196" s="224">
        <f>+B6</f>
        <v>2018</v>
      </c>
      <c r="C196" s="224">
        <f>+C6</f>
        <v>2019</v>
      </c>
      <c r="D196" s="224">
        <f>+D6</f>
        <v>2020</v>
      </c>
      <c r="E196" s="225" t="s">
        <v>48</v>
      </c>
    </row>
    <row r="197" spans="1:5" x14ac:dyDescent="0.2">
      <c r="A197" s="226" t="s">
        <v>127</v>
      </c>
      <c r="B197" s="90"/>
      <c r="C197" s="90">
        <f>+C214-C199</f>
        <v>0</v>
      </c>
      <c r="D197" s="90">
        <v>8434</v>
      </c>
      <c r="E197" s="227">
        <f t="shared" ref="E197:E203" si="16">SUM(B197:D197)</f>
        <v>8434</v>
      </c>
    </row>
    <row r="198" spans="1:5" x14ac:dyDescent="0.2">
      <c r="A198" s="228" t="s">
        <v>139</v>
      </c>
      <c r="B198" s="91"/>
      <c r="C198" s="91"/>
      <c r="D198" s="91"/>
      <c r="E198" s="229">
        <f t="shared" si="16"/>
        <v>0</v>
      </c>
    </row>
    <row r="199" spans="1:5" x14ac:dyDescent="0.2">
      <c r="A199" s="230" t="s">
        <v>128</v>
      </c>
      <c r="B199" s="92"/>
      <c r="C199" s="92"/>
      <c r="D199" s="92">
        <v>96282</v>
      </c>
      <c r="E199" s="231">
        <f t="shared" si="16"/>
        <v>96282</v>
      </c>
    </row>
    <row r="200" spans="1:5" x14ac:dyDescent="0.2">
      <c r="A200" s="230" t="s">
        <v>140</v>
      </c>
      <c r="B200" s="92"/>
      <c r="C200" s="92"/>
      <c r="D200" s="92"/>
      <c r="E200" s="231">
        <f t="shared" si="16"/>
        <v>0</v>
      </c>
    </row>
    <row r="201" spans="1:5" x14ac:dyDescent="0.2">
      <c r="A201" s="230" t="s">
        <v>129</v>
      </c>
      <c r="B201" s="92"/>
      <c r="C201" s="92"/>
      <c r="D201" s="92"/>
      <c r="E201" s="231">
        <f t="shared" si="16"/>
        <v>0</v>
      </c>
    </row>
    <row r="202" spans="1:5" x14ac:dyDescent="0.2">
      <c r="A202" s="230" t="s">
        <v>130</v>
      </c>
      <c r="B202" s="92"/>
      <c r="C202" s="92"/>
      <c r="D202" s="92"/>
      <c r="E202" s="231">
        <f t="shared" si="16"/>
        <v>0</v>
      </c>
    </row>
    <row r="203" spans="1:5" ht="13.5" thickBot="1" x14ac:dyDescent="0.25">
      <c r="A203" s="93"/>
      <c r="B203" s="94"/>
      <c r="C203" s="94"/>
      <c r="D203" s="94"/>
      <c r="E203" s="231">
        <f t="shared" si="16"/>
        <v>0</v>
      </c>
    </row>
    <row r="204" spans="1:5" ht="13.5" thickBot="1" x14ac:dyDescent="0.25">
      <c r="A204" s="232" t="s">
        <v>132</v>
      </c>
      <c r="B204" s="233">
        <f>B197+SUM(B199:B203)</f>
        <v>0</v>
      </c>
      <c r="C204" s="233">
        <f>C197+SUM(C199:C203)</f>
        <v>0</v>
      </c>
      <c r="D204" s="233">
        <f>D197+SUM(D199:D203)</f>
        <v>104716</v>
      </c>
      <c r="E204" s="234">
        <f>E197+SUM(E199:E203)</f>
        <v>104716</v>
      </c>
    </row>
    <row r="205" spans="1:5" ht="13.5" thickBot="1" x14ac:dyDescent="0.25">
      <c r="A205" s="53"/>
      <c r="B205" s="53"/>
      <c r="C205" s="53"/>
      <c r="D205" s="53"/>
      <c r="E205" s="53"/>
    </row>
    <row r="206" spans="1:5" ht="13.5" thickBot="1" x14ac:dyDescent="0.25">
      <c r="A206" s="223" t="s">
        <v>131</v>
      </c>
      <c r="B206" s="224">
        <f>+B196</f>
        <v>2018</v>
      </c>
      <c r="C206" s="224">
        <f>+C196</f>
        <v>2019</v>
      </c>
      <c r="D206" s="224">
        <f>+D196</f>
        <v>2020</v>
      </c>
      <c r="E206" s="225" t="s">
        <v>48</v>
      </c>
    </row>
    <row r="207" spans="1:5" x14ac:dyDescent="0.2">
      <c r="A207" s="226" t="s">
        <v>135</v>
      </c>
      <c r="B207" s="90"/>
      <c r="C207" s="90"/>
      <c r="D207" s="90">
        <v>1109</v>
      </c>
      <c r="E207" s="227">
        <f t="shared" ref="E207:E213" si="17">SUM(B207:D207)</f>
        <v>1109</v>
      </c>
    </row>
    <row r="208" spans="1:5" x14ac:dyDescent="0.2">
      <c r="A208" s="235" t="s">
        <v>136</v>
      </c>
      <c r="B208" s="92"/>
      <c r="C208" s="92"/>
      <c r="D208" s="92">
        <v>99912</v>
      </c>
      <c r="E208" s="231">
        <f t="shared" si="17"/>
        <v>99912</v>
      </c>
    </row>
    <row r="209" spans="1:5" x14ac:dyDescent="0.2">
      <c r="A209" s="230" t="s">
        <v>137</v>
      </c>
      <c r="B209" s="92"/>
      <c r="C209" s="92"/>
      <c r="D209" s="92">
        <v>3695</v>
      </c>
      <c r="E209" s="231">
        <f t="shared" si="17"/>
        <v>3695</v>
      </c>
    </row>
    <row r="210" spans="1:5" x14ac:dyDescent="0.2">
      <c r="A210" s="230" t="s">
        <v>138</v>
      </c>
      <c r="B210" s="92"/>
      <c r="C210" s="92"/>
      <c r="D210" s="92"/>
      <c r="E210" s="231">
        <f t="shared" si="17"/>
        <v>0</v>
      </c>
    </row>
    <row r="211" spans="1:5" x14ac:dyDescent="0.2">
      <c r="A211" s="95"/>
      <c r="B211" s="92"/>
      <c r="C211" s="92"/>
      <c r="D211" s="92"/>
      <c r="E211" s="231">
        <f t="shared" si="17"/>
        <v>0</v>
      </c>
    </row>
    <row r="212" spans="1:5" x14ac:dyDescent="0.2">
      <c r="A212" s="95"/>
      <c r="B212" s="92"/>
      <c r="C212" s="92"/>
      <c r="D212" s="92"/>
      <c r="E212" s="231">
        <f t="shared" si="17"/>
        <v>0</v>
      </c>
    </row>
    <row r="213" spans="1:5" ht="13.5" thickBot="1" x14ac:dyDescent="0.25">
      <c r="A213" s="93"/>
      <c r="B213" s="94"/>
      <c r="C213" s="94"/>
      <c r="D213" s="94"/>
      <c r="E213" s="231">
        <f t="shared" si="17"/>
        <v>0</v>
      </c>
    </row>
    <row r="214" spans="1:5" ht="13.5" thickBot="1" x14ac:dyDescent="0.25">
      <c r="A214" s="232" t="s">
        <v>50</v>
      </c>
      <c r="B214" s="233">
        <f>SUM(B207:B213)</f>
        <v>0</v>
      </c>
      <c r="C214" s="233">
        <f>SUM(C207:C213)</f>
        <v>0</v>
      </c>
      <c r="D214" s="233">
        <f>SUM(D207:D213)</f>
        <v>104716</v>
      </c>
      <c r="E214" s="234">
        <f>SUM(E207:E213)</f>
        <v>104716</v>
      </c>
    </row>
    <row r="215" spans="1:5" x14ac:dyDescent="0.2">
      <c r="A215" s="581"/>
      <c r="B215" s="582"/>
      <c r="C215" s="582"/>
      <c r="D215" s="582"/>
      <c r="E215" s="582"/>
    </row>
    <row r="216" spans="1:5" x14ac:dyDescent="0.2">
      <c r="A216" s="581"/>
      <c r="B216" s="582"/>
      <c r="C216" s="582"/>
      <c r="D216" s="582"/>
      <c r="E216" s="582"/>
    </row>
    <row r="217" spans="1:5" ht="30.75" customHeight="1" x14ac:dyDescent="0.2">
      <c r="A217" s="583" t="s">
        <v>133</v>
      </c>
      <c r="B217" s="693" t="s">
        <v>703</v>
      </c>
      <c r="C217" s="693"/>
      <c r="D217" s="693"/>
      <c r="E217" s="693"/>
    </row>
    <row r="218" spans="1:5" ht="14.25" thickBot="1" x14ac:dyDescent="0.3">
      <c r="A218" s="222"/>
      <c r="B218" s="222"/>
      <c r="C218" s="222"/>
      <c r="D218" s="694" t="s">
        <v>126</v>
      </c>
      <c r="E218" s="694"/>
    </row>
    <row r="219" spans="1:5" ht="13.5" thickBot="1" x14ac:dyDescent="0.25">
      <c r="A219" s="223" t="s">
        <v>125</v>
      </c>
      <c r="B219" s="224">
        <f>+B206</f>
        <v>2018</v>
      </c>
      <c r="C219" s="224">
        <f>+C206</f>
        <v>2019</v>
      </c>
      <c r="D219" s="224">
        <f>+D206</f>
        <v>2020</v>
      </c>
      <c r="E219" s="225" t="s">
        <v>48</v>
      </c>
    </row>
    <row r="220" spans="1:5" x14ac:dyDescent="0.2">
      <c r="A220" s="226" t="s">
        <v>127</v>
      </c>
      <c r="B220" s="90"/>
      <c r="C220" s="90"/>
      <c r="D220" s="90">
        <v>1487</v>
      </c>
      <c r="E220" s="227">
        <f t="shared" ref="E220:E226" si="18">SUM(B220:D220)</f>
        <v>1487</v>
      </c>
    </row>
    <row r="221" spans="1:5" x14ac:dyDescent="0.2">
      <c r="A221" s="228" t="s">
        <v>139</v>
      </c>
      <c r="B221" s="91"/>
      <c r="C221" s="91"/>
      <c r="D221" s="91"/>
      <c r="E221" s="229">
        <f t="shared" si="18"/>
        <v>0</v>
      </c>
    </row>
    <row r="222" spans="1:5" x14ac:dyDescent="0.2">
      <c r="A222" s="230" t="s">
        <v>128</v>
      </c>
      <c r="B222" s="92"/>
      <c r="C222" s="92"/>
      <c r="D222" s="92">
        <v>317175</v>
      </c>
      <c r="E222" s="231">
        <f t="shared" si="18"/>
        <v>317175</v>
      </c>
    </row>
    <row r="223" spans="1:5" x14ac:dyDescent="0.2">
      <c r="A223" s="230" t="s">
        <v>140</v>
      </c>
      <c r="B223" s="92"/>
      <c r="C223" s="92"/>
      <c r="D223" s="92"/>
      <c r="E223" s="231">
        <f t="shared" si="18"/>
        <v>0</v>
      </c>
    </row>
    <row r="224" spans="1:5" x14ac:dyDescent="0.2">
      <c r="A224" s="230" t="s">
        <v>129</v>
      </c>
      <c r="B224" s="92"/>
      <c r="C224" s="92"/>
      <c r="D224" s="92"/>
      <c r="E224" s="231">
        <f t="shared" si="18"/>
        <v>0</v>
      </c>
    </row>
    <row r="225" spans="1:5" x14ac:dyDescent="0.2">
      <c r="A225" s="230" t="s">
        <v>130</v>
      </c>
      <c r="B225" s="92"/>
      <c r="C225" s="92"/>
      <c r="D225" s="92"/>
      <c r="E225" s="231">
        <f t="shared" si="18"/>
        <v>0</v>
      </c>
    </row>
    <row r="226" spans="1:5" ht="13.5" thickBot="1" x14ac:dyDescent="0.25">
      <c r="A226" s="93"/>
      <c r="B226" s="94"/>
      <c r="C226" s="94"/>
      <c r="D226" s="94"/>
      <c r="E226" s="231">
        <f t="shared" si="18"/>
        <v>0</v>
      </c>
    </row>
    <row r="227" spans="1:5" ht="13.5" thickBot="1" x14ac:dyDescent="0.25">
      <c r="A227" s="232" t="s">
        <v>132</v>
      </c>
      <c r="B227" s="233">
        <f>B220+SUM(B222:B226)</f>
        <v>0</v>
      </c>
      <c r="C227" s="233">
        <f>C220+SUM(C222:C226)</f>
        <v>0</v>
      </c>
      <c r="D227" s="233">
        <f>D220+SUM(D222:D226)</f>
        <v>318662</v>
      </c>
      <c r="E227" s="234">
        <f>E220+SUM(E222:E226)</f>
        <v>318662</v>
      </c>
    </row>
    <row r="228" spans="1:5" ht="13.5" thickBot="1" x14ac:dyDescent="0.25">
      <c r="A228" s="53"/>
      <c r="B228" s="53"/>
      <c r="C228" s="53"/>
      <c r="D228" s="53"/>
      <c r="E228" s="53"/>
    </row>
    <row r="229" spans="1:5" ht="13.5" thickBot="1" x14ac:dyDescent="0.25">
      <c r="A229" s="223" t="s">
        <v>131</v>
      </c>
      <c r="B229" s="224">
        <f>+B219</f>
        <v>2018</v>
      </c>
      <c r="C229" s="224">
        <f>+C219</f>
        <v>2019</v>
      </c>
      <c r="D229" s="224">
        <f>+D219</f>
        <v>2020</v>
      </c>
      <c r="E229" s="225" t="s">
        <v>48</v>
      </c>
    </row>
    <row r="230" spans="1:5" x14ac:dyDescent="0.2">
      <c r="A230" s="226" t="s">
        <v>135</v>
      </c>
      <c r="B230" s="90"/>
      <c r="C230" s="90"/>
      <c r="D230" s="90">
        <v>4816</v>
      </c>
      <c r="E230" s="227">
        <f t="shared" ref="E230:E236" si="19">SUM(B230:D230)</f>
        <v>4816</v>
      </c>
    </row>
    <row r="231" spans="1:5" x14ac:dyDescent="0.2">
      <c r="A231" s="235" t="s">
        <v>136</v>
      </c>
      <c r="B231" s="92"/>
      <c r="C231" s="92"/>
      <c r="D231" s="92">
        <v>298125</v>
      </c>
      <c r="E231" s="231">
        <f t="shared" si="19"/>
        <v>298125</v>
      </c>
    </row>
    <row r="232" spans="1:5" x14ac:dyDescent="0.2">
      <c r="A232" s="230" t="s">
        <v>137</v>
      </c>
      <c r="B232" s="92"/>
      <c r="C232" s="92"/>
      <c r="D232" s="92">
        <v>15721</v>
      </c>
      <c r="E232" s="231">
        <f t="shared" si="19"/>
        <v>15721</v>
      </c>
    </row>
    <row r="233" spans="1:5" x14ac:dyDescent="0.2">
      <c r="A233" s="230" t="s">
        <v>138</v>
      </c>
      <c r="B233" s="92"/>
      <c r="C233" s="92"/>
      <c r="D233" s="92"/>
      <c r="E233" s="231">
        <f t="shared" si="19"/>
        <v>0</v>
      </c>
    </row>
    <row r="234" spans="1:5" x14ac:dyDescent="0.2">
      <c r="A234" s="95"/>
      <c r="B234" s="92"/>
      <c r="C234" s="92"/>
      <c r="D234" s="92"/>
      <c r="E234" s="231">
        <f t="shared" si="19"/>
        <v>0</v>
      </c>
    </row>
    <row r="235" spans="1:5" x14ac:dyDescent="0.2">
      <c r="A235" s="95"/>
      <c r="B235" s="92"/>
      <c r="C235" s="92"/>
      <c r="D235" s="92"/>
      <c r="E235" s="231">
        <f t="shared" si="19"/>
        <v>0</v>
      </c>
    </row>
    <row r="236" spans="1:5" ht="13.5" thickBot="1" x14ac:dyDescent="0.25">
      <c r="A236" s="93"/>
      <c r="B236" s="94"/>
      <c r="C236" s="94"/>
      <c r="D236" s="94"/>
      <c r="E236" s="231">
        <f t="shared" si="19"/>
        <v>0</v>
      </c>
    </row>
    <row r="237" spans="1:5" ht="13.5" thickBot="1" x14ac:dyDescent="0.25">
      <c r="A237" s="232" t="s">
        <v>50</v>
      </c>
      <c r="B237" s="233">
        <f>SUM(B230:B236)</f>
        <v>0</v>
      </c>
      <c r="C237" s="233">
        <f>SUM(C230:C236)</f>
        <v>0</v>
      </c>
      <c r="D237" s="233">
        <f>SUM(D230:D236)</f>
        <v>318662</v>
      </c>
      <c r="E237" s="234">
        <f>SUM(E230:E236)</f>
        <v>318662</v>
      </c>
    </row>
    <row r="245" spans="1:5" ht="40.5" customHeight="1" x14ac:dyDescent="0.2">
      <c r="A245" s="583" t="s">
        <v>133</v>
      </c>
      <c r="B245" s="693" t="s">
        <v>704</v>
      </c>
      <c r="C245" s="693"/>
      <c r="D245" s="693"/>
      <c r="E245" s="693"/>
    </row>
    <row r="246" spans="1:5" ht="14.25" thickBot="1" x14ac:dyDescent="0.3">
      <c r="A246" s="222"/>
      <c r="B246" s="222"/>
      <c r="C246" s="222"/>
      <c r="D246" s="694" t="s">
        <v>126</v>
      </c>
      <c r="E246" s="694"/>
    </row>
    <row r="247" spans="1:5" ht="13.5" thickBot="1" x14ac:dyDescent="0.25">
      <c r="A247" s="223" t="s">
        <v>125</v>
      </c>
      <c r="B247" s="224">
        <f>+B6</f>
        <v>2018</v>
      </c>
      <c r="C247" s="224">
        <f>+C6</f>
        <v>2019</v>
      </c>
      <c r="D247" s="224">
        <f>+D6</f>
        <v>2020</v>
      </c>
      <c r="E247" s="225" t="s">
        <v>48</v>
      </c>
    </row>
    <row r="248" spans="1:5" x14ac:dyDescent="0.2">
      <c r="A248" s="226" t="s">
        <v>127</v>
      </c>
      <c r="B248" s="90"/>
      <c r="C248" s="90"/>
      <c r="D248" s="90"/>
      <c r="E248" s="227">
        <f t="shared" ref="E248:E254" si="20">SUM(B248:D248)</f>
        <v>0</v>
      </c>
    </row>
    <row r="249" spans="1:5" x14ac:dyDescent="0.2">
      <c r="A249" s="228" t="s">
        <v>139</v>
      </c>
      <c r="B249" s="91"/>
      <c r="C249" s="91"/>
      <c r="D249" s="91"/>
      <c r="E249" s="229">
        <f t="shared" si="20"/>
        <v>0</v>
      </c>
    </row>
    <row r="250" spans="1:5" x14ac:dyDescent="0.2">
      <c r="A250" s="230" t="s">
        <v>128</v>
      </c>
      <c r="B250" s="92"/>
      <c r="C250" s="92"/>
      <c r="D250" s="92">
        <v>6243</v>
      </c>
      <c r="E250" s="231">
        <f t="shared" si="20"/>
        <v>6243</v>
      </c>
    </row>
    <row r="251" spans="1:5" x14ac:dyDescent="0.2">
      <c r="A251" s="230" t="s">
        <v>140</v>
      </c>
      <c r="B251" s="92"/>
      <c r="C251" s="92"/>
      <c r="D251" s="92"/>
      <c r="E251" s="231">
        <f t="shared" si="20"/>
        <v>0</v>
      </c>
    </row>
    <row r="252" spans="1:5" x14ac:dyDescent="0.2">
      <c r="A252" s="230" t="s">
        <v>129</v>
      </c>
      <c r="B252" s="92"/>
      <c r="C252" s="92"/>
      <c r="D252" s="92"/>
      <c r="E252" s="231">
        <f t="shared" si="20"/>
        <v>0</v>
      </c>
    </row>
    <row r="253" spans="1:5" x14ac:dyDescent="0.2">
      <c r="A253" s="230" t="s">
        <v>130</v>
      </c>
      <c r="B253" s="92"/>
      <c r="C253" s="92"/>
      <c r="D253" s="92"/>
      <c r="E253" s="231">
        <f t="shared" si="20"/>
        <v>0</v>
      </c>
    </row>
    <row r="254" spans="1:5" ht="13.5" thickBot="1" x14ac:dyDescent="0.25">
      <c r="A254" s="93"/>
      <c r="B254" s="94"/>
      <c r="C254" s="94"/>
      <c r="D254" s="94"/>
      <c r="E254" s="231">
        <f t="shared" si="20"/>
        <v>0</v>
      </c>
    </row>
    <row r="255" spans="1:5" ht="13.5" thickBot="1" x14ac:dyDescent="0.25">
      <c r="A255" s="232" t="s">
        <v>132</v>
      </c>
      <c r="B255" s="233">
        <f>B248+SUM(B250:B254)</f>
        <v>0</v>
      </c>
      <c r="C255" s="233">
        <f>C248+SUM(C250:C254)</f>
        <v>0</v>
      </c>
      <c r="D255" s="233">
        <f>D248+SUM(D250:D254)</f>
        <v>6243</v>
      </c>
      <c r="E255" s="234">
        <f>E248+SUM(E250:E254)</f>
        <v>6243</v>
      </c>
    </row>
    <row r="256" spans="1:5" ht="13.5" thickBot="1" x14ac:dyDescent="0.25">
      <c r="A256" s="53"/>
      <c r="B256" s="53"/>
      <c r="C256" s="53"/>
      <c r="D256" s="53"/>
      <c r="E256" s="53"/>
    </row>
    <row r="257" spans="1:5" ht="13.5" thickBot="1" x14ac:dyDescent="0.25">
      <c r="A257" s="223" t="s">
        <v>131</v>
      </c>
      <c r="B257" s="224">
        <f>+B247</f>
        <v>2018</v>
      </c>
      <c r="C257" s="224">
        <f>+C247</f>
        <v>2019</v>
      </c>
      <c r="D257" s="224">
        <f>+D247</f>
        <v>2020</v>
      </c>
      <c r="E257" s="225" t="s">
        <v>48</v>
      </c>
    </row>
    <row r="258" spans="1:5" x14ac:dyDescent="0.2">
      <c r="A258" s="226" t="s">
        <v>135</v>
      </c>
      <c r="B258" s="90"/>
      <c r="C258" s="90"/>
      <c r="D258" s="90"/>
      <c r="E258" s="227">
        <f t="shared" ref="E258:E264" si="21">SUM(B258:D258)</f>
        <v>0</v>
      </c>
    </row>
    <row r="259" spans="1:5" x14ac:dyDescent="0.2">
      <c r="A259" s="235" t="s">
        <v>136</v>
      </c>
      <c r="B259" s="92"/>
      <c r="C259" s="92"/>
      <c r="D259" s="92"/>
      <c r="E259" s="231">
        <f t="shared" si="21"/>
        <v>0</v>
      </c>
    </row>
    <row r="260" spans="1:5" x14ac:dyDescent="0.2">
      <c r="A260" s="230" t="s">
        <v>137</v>
      </c>
      <c r="B260" s="92"/>
      <c r="C260" s="92"/>
      <c r="D260" s="92"/>
      <c r="E260" s="231">
        <f t="shared" si="21"/>
        <v>0</v>
      </c>
    </row>
    <row r="261" spans="1:5" x14ac:dyDescent="0.2">
      <c r="A261" s="230" t="s">
        <v>138</v>
      </c>
      <c r="B261" s="92"/>
      <c r="C261" s="92"/>
      <c r="D261" s="92"/>
      <c r="E261" s="231">
        <f t="shared" si="21"/>
        <v>0</v>
      </c>
    </row>
    <row r="262" spans="1:5" x14ac:dyDescent="0.2">
      <c r="A262" s="95"/>
      <c r="B262" s="92"/>
      <c r="C262" s="92"/>
      <c r="D262" s="92"/>
      <c r="E262" s="231">
        <f t="shared" si="21"/>
        <v>0</v>
      </c>
    </row>
    <row r="263" spans="1:5" x14ac:dyDescent="0.2">
      <c r="A263" s="95"/>
      <c r="B263" s="92"/>
      <c r="C263" s="92"/>
      <c r="D263" s="92"/>
      <c r="E263" s="231">
        <f t="shared" si="21"/>
        <v>0</v>
      </c>
    </row>
    <row r="264" spans="1:5" ht="13.5" thickBot="1" x14ac:dyDescent="0.25">
      <c r="A264" s="93"/>
      <c r="B264" s="94"/>
      <c r="C264" s="94"/>
      <c r="D264" s="94"/>
      <c r="E264" s="231">
        <f t="shared" si="21"/>
        <v>0</v>
      </c>
    </row>
    <row r="265" spans="1:5" ht="13.5" thickBot="1" x14ac:dyDescent="0.25">
      <c r="A265" s="232" t="s">
        <v>50</v>
      </c>
      <c r="B265" s="233">
        <f>SUM(B258:B264)</f>
        <v>0</v>
      </c>
      <c r="C265" s="233">
        <f>SUM(C258:C264)</f>
        <v>0</v>
      </c>
      <c r="D265" s="233">
        <f>SUM(D258:D264)</f>
        <v>0</v>
      </c>
      <c r="E265" s="234">
        <f>SUM(E258:E264)</f>
        <v>0</v>
      </c>
    </row>
    <row r="266" spans="1:5" x14ac:dyDescent="0.2">
      <c r="A266" s="581"/>
      <c r="B266" s="582"/>
      <c r="C266" s="582"/>
      <c r="D266" s="582"/>
      <c r="E266" s="582"/>
    </row>
    <row r="267" spans="1:5" x14ac:dyDescent="0.2">
      <c r="A267" s="581"/>
      <c r="B267" s="582"/>
      <c r="C267" s="582"/>
      <c r="D267" s="582"/>
      <c r="E267" s="582"/>
    </row>
  </sheetData>
  <mergeCells count="22">
    <mergeCell ref="D246:E246"/>
    <mergeCell ref="B194:E194"/>
    <mergeCell ref="D195:E195"/>
    <mergeCell ref="B217:E217"/>
    <mergeCell ref="D218:E218"/>
    <mergeCell ref="B245:E245"/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  <mergeCell ref="B120:E120"/>
    <mergeCell ref="D121:E121"/>
  </mergeCells>
  <phoneticPr fontId="30" type="noConversion"/>
  <conditionalFormatting sqref="E7:E14 B14:D14 E17:E25 B24:D25 B49:E50 B72:E73 B95:E96 B118:E119 B141:E142 B164:E165 B26:E27">
    <cfRule type="cellIs" dxfId="13" priority="16" stopIfTrue="1" operator="equal">
      <formula>0</formula>
    </cfRule>
  </conditionalFormatting>
  <conditionalFormatting sqref="E31:E38 B38:D38 E41:E48 B48:D48">
    <cfRule type="cellIs" dxfId="12" priority="14" stopIfTrue="1" operator="equal">
      <formula>0</formula>
    </cfRule>
  </conditionalFormatting>
  <conditionalFormatting sqref="E54:E61 B61:D61 E64:E71 B71:D71">
    <cfRule type="cellIs" dxfId="11" priority="13" stopIfTrue="1" operator="equal">
      <formula>0</formula>
    </cfRule>
  </conditionalFormatting>
  <conditionalFormatting sqref="E77:E84 B84:D84 E87:E94 B94:D94">
    <cfRule type="cellIs" dxfId="10" priority="12" stopIfTrue="1" operator="equal">
      <formula>0</formula>
    </cfRule>
  </conditionalFormatting>
  <conditionalFormatting sqref="E100:E107 B107:D107 E110:E117 B117:D117">
    <cfRule type="cellIs" dxfId="9" priority="11" stopIfTrue="1" operator="equal">
      <formula>0</formula>
    </cfRule>
  </conditionalFormatting>
  <conditionalFormatting sqref="E123:E130 B130:D130 E133:E140 B140:D140">
    <cfRule type="cellIs" dxfId="8" priority="10" stopIfTrue="1" operator="equal">
      <formula>0</formula>
    </cfRule>
  </conditionalFormatting>
  <conditionalFormatting sqref="E146:E153 B153:D153 E156:E163 B163:D163">
    <cfRule type="cellIs" dxfId="7" priority="9" stopIfTrue="1" operator="equal">
      <formula>0</formula>
    </cfRule>
  </conditionalFormatting>
  <conditionalFormatting sqref="E169:E176 B176:D176 E179:E186 B186:D186">
    <cfRule type="cellIs" dxfId="6" priority="7" stopIfTrue="1" operator="equal">
      <formula>0</formula>
    </cfRule>
  </conditionalFormatting>
  <conditionalFormatting sqref="B215:E216">
    <cfRule type="cellIs" dxfId="5" priority="6" stopIfTrue="1" operator="equal">
      <formula>0</formula>
    </cfRule>
  </conditionalFormatting>
  <conditionalFormatting sqref="E197:E204 B204:D204 E207:E214 B214:D214">
    <cfRule type="cellIs" dxfId="4" priority="5" stopIfTrue="1" operator="equal">
      <formula>0</formula>
    </cfRule>
  </conditionalFormatting>
  <conditionalFormatting sqref="E220:E227 B227:D227 E230:E237 B237:D237">
    <cfRule type="cellIs" dxfId="3" priority="4" stopIfTrue="1" operator="equal">
      <formula>0</formula>
    </cfRule>
  </conditionalFormatting>
  <conditionalFormatting sqref="B266:E267">
    <cfRule type="cellIs" dxfId="2" priority="3" stopIfTrue="1" operator="equal">
      <formula>0</formula>
    </cfRule>
  </conditionalFormatting>
  <conditionalFormatting sqref="E248:E255 B255:D255 E258:E265 B265:D265">
    <cfRule type="cellIs" dxfId="1" priority="2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..../2020.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2"/>
  <sheetViews>
    <sheetView zoomScale="130" zoomScaleNormal="130" zoomScaleSheetLayoutView="85" workbookViewId="0">
      <selection activeCell="B13" sqref="B13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…./2020. (…..) önkormányzati rendelethez</v>
      </c>
    </row>
    <row r="2" spans="1:5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561</v>
      </c>
    </row>
    <row r="5" spans="1:5" ht="13.5" thickBot="1" x14ac:dyDescent="0.25">
      <c r="A5" s="416" t="s">
        <v>194</v>
      </c>
      <c r="B5" s="242" t="s">
        <v>550</v>
      </c>
      <c r="C5" s="360" t="s">
        <v>689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+C9+C10+C13+C14+C15+C16</f>
        <v>532738838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209740590</v>
      </c>
    </row>
    <row r="10" spans="1:5" s="99" customFormat="1" ht="12" customHeight="1" x14ac:dyDescent="0.2">
      <c r="A10" s="445" t="s">
        <v>93</v>
      </c>
      <c r="B10" s="426" t="s">
        <v>710</v>
      </c>
      <c r="C10" s="299">
        <f>'9.1.1. sz. mell ÖNK'!C10+'9.1.2. sz. mell ÖNK'!C10+'9.1.3. sz. mell ÖNK'!C10</f>
        <v>74292320</v>
      </c>
      <c r="E10" s="541">
        <f>SUM(C9:C14)</f>
        <v>685638821</v>
      </c>
    </row>
    <row r="11" spans="1:5" s="99" customFormat="1" ht="12" customHeight="1" x14ac:dyDescent="0.2">
      <c r="A11" s="445" t="s">
        <v>712</v>
      </c>
      <c r="B11" s="426" t="s">
        <v>708</v>
      </c>
      <c r="C11" s="299">
        <f>+'9.1.1. sz. mell ÖNK'!C11</f>
        <v>110495468</v>
      </c>
      <c r="E11" s="541"/>
    </row>
    <row r="12" spans="1:5" s="99" customFormat="1" ht="12" customHeight="1" x14ac:dyDescent="0.2">
      <c r="A12" s="445" t="s">
        <v>713</v>
      </c>
      <c r="B12" s="426" t="s">
        <v>709</v>
      </c>
      <c r="C12" s="299">
        <f>+'9.1.1. sz. mell ÖNK'!C12</f>
        <v>85970896</v>
      </c>
      <c r="E12" s="541"/>
    </row>
    <row r="13" spans="1:5" s="99" customFormat="1" ht="23.25" customHeight="1" x14ac:dyDescent="0.2">
      <c r="A13" s="445" t="s">
        <v>94</v>
      </c>
      <c r="B13" s="426" t="s">
        <v>714</v>
      </c>
      <c r="C13" s="299">
        <f>'9.1.1. sz. mell ÖNK'!C13+'9.1.2. sz. mell ÖNK'!C13+'9.1.3. sz. mell ÖNK'!C13</f>
        <v>196466364</v>
      </c>
    </row>
    <row r="14" spans="1:5" s="99" customFormat="1" ht="12" customHeight="1" x14ac:dyDescent="0.2">
      <c r="A14" s="445" t="s">
        <v>95</v>
      </c>
      <c r="B14" s="426" t="s">
        <v>711</v>
      </c>
      <c r="C14" s="299">
        <f>'9.1.1. sz. mell ÖNK'!C14+'9.1.2. sz. mell ÖNK'!C14+'9.1.3. sz. mell ÖNK'!C14</f>
        <v>8673183</v>
      </c>
    </row>
    <row r="15" spans="1:5" s="99" customFormat="1" ht="12" customHeight="1" x14ac:dyDescent="0.2">
      <c r="A15" s="445" t="s">
        <v>141</v>
      </c>
      <c r="B15" s="426" t="s">
        <v>493</v>
      </c>
      <c r="C15" s="299">
        <f>'9.1.1. sz. mell ÖNK'!C15+'9.1.2. sz. mell ÖNK'!C15+'9.1.3. sz. mell ÖNK'!C15</f>
        <v>43566381</v>
      </c>
    </row>
    <row r="16" spans="1:5" s="98" customFormat="1" ht="12" customHeight="1" thickBot="1" x14ac:dyDescent="0.25">
      <c r="A16" s="446" t="s">
        <v>96</v>
      </c>
      <c r="B16" s="427" t="s">
        <v>425</v>
      </c>
      <c r="C16" s="299">
        <f>'9.1.1. sz. mell ÖNK'!C16+'9.1.2. sz. mell ÖNK'!C16+'9.1.3. sz. mell ÖNK'!C16</f>
        <v>0</v>
      </c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131597425</v>
      </c>
    </row>
    <row r="18" spans="1:3" s="98" customFormat="1" ht="12" customHeight="1" x14ac:dyDescent="0.2">
      <c r="A18" s="444" t="s">
        <v>98</v>
      </c>
      <c r="B18" s="425" t="s">
        <v>246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99</v>
      </c>
      <c r="B19" s="426" t="s">
        <v>247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100</v>
      </c>
      <c r="B20" s="426" t="s">
        <v>414</v>
      </c>
      <c r="C20" s="299">
        <f>'9.1.1. sz. mell ÖNK'!C20+'9.1.2. sz. mell ÖNK'!C20+'9.1.3. sz. mell ÖNK'!C20</f>
        <v>0</v>
      </c>
    </row>
    <row r="21" spans="1:3" s="98" customFormat="1" ht="12" customHeight="1" x14ac:dyDescent="0.2">
      <c r="A21" s="445" t="s">
        <v>101</v>
      </c>
      <c r="B21" s="426" t="s">
        <v>415</v>
      </c>
      <c r="C21" s="299">
        <f>'9.1.1. sz. mell ÖNK'!C21+'9.1.2. sz. mell ÖNK'!C21+'9.1.3. sz. mell ÖNK'!C21</f>
        <v>0</v>
      </c>
    </row>
    <row r="22" spans="1:3" s="98" customFormat="1" ht="12" customHeight="1" x14ac:dyDescent="0.2">
      <c r="A22" s="445" t="s">
        <v>102</v>
      </c>
      <c r="B22" s="426" t="s">
        <v>248</v>
      </c>
      <c r="C22" s="299">
        <f>'9.1.1. sz. mell ÖNK'!C22+'9.1.2. sz. mell ÖNK'!C22+'9.1.3. sz. mell ÖNK'!C22</f>
        <v>131597425</v>
      </c>
    </row>
    <row r="23" spans="1:3" s="99" customFormat="1" ht="12" customHeight="1" thickBot="1" x14ac:dyDescent="0.25">
      <c r="A23" s="446" t="s">
        <v>111</v>
      </c>
      <c r="B23" s="427" t="s">
        <v>249</v>
      </c>
      <c r="C23" s="299">
        <f>'9.1.1. sz. mell ÖNK'!C23+'9.1.2. sz. mell ÖNK'!C23+'9.1.3. sz. mell ÖNK'!C23</f>
        <v>0</v>
      </c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369130289</v>
      </c>
    </row>
    <row r="25" spans="1:3" s="99" customFormat="1" ht="12" customHeight="1" x14ac:dyDescent="0.2">
      <c r="A25" s="444" t="s">
        <v>81</v>
      </c>
      <c r="B25" s="425" t="s">
        <v>251</v>
      </c>
      <c r="C25" s="299">
        <f>'9.1.1. sz. mell ÖNK'!C25+'9.1.2. sz. mell ÖNK'!C25+'9.1.3. sz. mell ÖNK'!C25</f>
        <v>0</v>
      </c>
    </row>
    <row r="26" spans="1:3" s="98" customFormat="1" ht="12" customHeight="1" x14ac:dyDescent="0.2">
      <c r="A26" s="445" t="s">
        <v>82</v>
      </c>
      <c r="B26" s="426" t="s">
        <v>252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83</v>
      </c>
      <c r="B27" s="426" t="s">
        <v>416</v>
      </c>
      <c r="C27" s="299">
        <f>'9.1.1. sz. mell ÖNK'!C27+'9.1.2. sz. mell ÖNK'!C27+'9.1.3. sz. mell ÖNK'!C27</f>
        <v>0</v>
      </c>
    </row>
    <row r="28" spans="1:3" s="99" customFormat="1" ht="12" customHeight="1" x14ac:dyDescent="0.2">
      <c r="A28" s="445" t="s">
        <v>84</v>
      </c>
      <c r="B28" s="426" t="s">
        <v>417</v>
      </c>
      <c r="C28" s="299">
        <f>'9.1.1. sz. mell ÖNK'!C28+'9.1.2. sz. mell ÖNK'!C28+'9.1.3. sz. mell ÖNK'!C28</f>
        <v>0</v>
      </c>
    </row>
    <row r="29" spans="1:3" s="99" customFormat="1" ht="12" customHeight="1" x14ac:dyDescent="0.2">
      <c r="A29" s="445" t="s">
        <v>160</v>
      </c>
      <c r="B29" s="426" t="s">
        <v>253</v>
      </c>
      <c r="C29" s="299">
        <f>'9.1.1. sz. mell ÖNK'!C29+'9.1.2. sz. mell ÖNK'!C29+'9.1.3. sz. mell ÖNK'!C29</f>
        <v>369130289</v>
      </c>
    </row>
    <row r="30" spans="1:3" s="99" customFormat="1" ht="12" customHeight="1" thickBot="1" x14ac:dyDescent="0.25">
      <c r="A30" s="446" t="s">
        <v>161</v>
      </c>
      <c r="B30" s="427" t="s">
        <v>254</v>
      </c>
      <c r="C30" s="299">
        <f>'9.1.1. sz. mell ÖNK'!C30+'9.1.2. sz. mell ÖNK'!C30+'9.1.3. sz. mell ÖNK'!C30</f>
        <v>0</v>
      </c>
    </row>
    <row r="31" spans="1:3" s="99" customFormat="1" ht="12" customHeight="1" thickBot="1" x14ac:dyDescent="0.25">
      <c r="A31" s="33" t="s">
        <v>162</v>
      </c>
      <c r="B31" s="21" t="s">
        <v>547</v>
      </c>
      <c r="C31" s="302">
        <f>+C32+C37+C38+C39+C35+C36+C33+C34</f>
        <v>145715000</v>
      </c>
    </row>
    <row r="32" spans="1:3" s="99" customFormat="1" ht="12" customHeight="1" x14ac:dyDescent="0.2">
      <c r="A32" s="444" t="s">
        <v>256</v>
      </c>
      <c r="B32" s="425" t="s">
        <v>542</v>
      </c>
      <c r="C32" s="420">
        <f>'9.1.1. sz. mell ÖNK'!C32+'9.1.2. sz. mell ÖNK'!C32+'9.1.3. sz. mell ÖNK'!C32</f>
        <v>0</v>
      </c>
    </row>
    <row r="33" spans="1:3" s="99" customFormat="1" ht="12" customHeight="1" x14ac:dyDescent="0.2">
      <c r="A33" s="445" t="s">
        <v>257</v>
      </c>
      <c r="B33" s="426" t="s">
        <v>543</v>
      </c>
      <c r="C33" s="420">
        <f>'9.1.1. sz. mell ÖNK'!C33+'9.1.2. sz. mell ÖNK'!C33+'9.1.3. sz. mell ÖNK'!C33</f>
        <v>15000</v>
      </c>
    </row>
    <row r="34" spans="1:3" s="99" customFormat="1" ht="12" customHeight="1" x14ac:dyDescent="0.2">
      <c r="A34" s="445" t="s">
        <v>258</v>
      </c>
      <c r="B34" s="426" t="s">
        <v>618</v>
      </c>
      <c r="C34" s="420">
        <f>'9.1.1. sz. mell ÖNK'!C34+'9.1.2. sz. mell ÖNK'!C33+'9.1.3. sz. mell ÖNK'!C33</f>
        <v>16500000</v>
      </c>
    </row>
    <row r="35" spans="1:3" s="99" customFormat="1" ht="12" customHeight="1" x14ac:dyDescent="0.2">
      <c r="A35" s="445" t="s">
        <v>259</v>
      </c>
      <c r="B35" s="426" t="s">
        <v>544</v>
      </c>
      <c r="C35" s="420">
        <f>'9.1.1. sz. mell ÖNK'!C35+'9.1.2. sz. mell ÖNK'!C35+'9.1.3. sz. mell ÖNK'!C35</f>
        <v>109000000</v>
      </c>
    </row>
    <row r="36" spans="1:3" s="99" customFormat="1" ht="12" customHeight="1" x14ac:dyDescent="0.2">
      <c r="A36" s="445" t="s">
        <v>539</v>
      </c>
      <c r="B36" s="426" t="s">
        <v>545</v>
      </c>
      <c r="C36" s="420">
        <f>'9.1.1. sz. mell ÖNK'!C36+'9.1.2. sz. mell ÖNK'!C36+'9.1.3. sz. mell ÖNK'!C36</f>
        <v>100000</v>
      </c>
    </row>
    <row r="37" spans="1:3" s="99" customFormat="1" ht="12" customHeight="1" x14ac:dyDescent="0.2">
      <c r="A37" s="445" t="s">
        <v>540</v>
      </c>
      <c r="B37" s="426" t="s">
        <v>260</v>
      </c>
      <c r="C37" s="420">
        <f>'9.1.1. sz. mell ÖNK'!C37+'9.1.2. sz. mell ÖNK'!C37+'9.1.3. sz. mell ÖNK'!C37</f>
        <v>16800000</v>
      </c>
    </row>
    <row r="38" spans="1:3" s="99" customFormat="1" ht="12" customHeight="1" x14ac:dyDescent="0.2">
      <c r="A38" s="446" t="s">
        <v>541</v>
      </c>
      <c r="B38" s="426" t="s">
        <v>261</v>
      </c>
      <c r="C38" s="420">
        <f>'9.1.1. sz. mell ÖNK'!C38+'9.1.2. sz. mell ÖNK'!C38+'9.1.3. sz. mell ÖNK'!C38</f>
        <v>0</v>
      </c>
    </row>
    <row r="39" spans="1:3" s="99" customFormat="1" ht="12" customHeight="1" thickBot="1" x14ac:dyDescent="0.25">
      <c r="A39" s="446" t="s">
        <v>619</v>
      </c>
      <c r="B39" s="522" t="s">
        <v>262</v>
      </c>
      <c r="C39" s="420">
        <f>'9.1.1. sz. mell ÖNK'!C39+'9.1.2. sz. mell ÖNK'!C39+'9.1.3. sz. mell ÖNK'!C39</f>
        <v>3300000</v>
      </c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20170860</v>
      </c>
    </row>
    <row r="41" spans="1:3" s="99" customFormat="1" ht="12" customHeight="1" x14ac:dyDescent="0.2">
      <c r="A41" s="444" t="s">
        <v>85</v>
      </c>
      <c r="B41" s="425" t="s">
        <v>265</v>
      </c>
      <c r="C41" s="299">
        <f>'9.1.1. sz. mell ÖNK'!C41+'9.1.2. sz. mell ÖNK'!C41+'9.1.3. sz. mell ÖNK'!C41</f>
        <v>1920362</v>
      </c>
    </row>
    <row r="42" spans="1:3" s="99" customFormat="1" ht="12" customHeight="1" x14ac:dyDescent="0.2">
      <c r="A42" s="445" t="s">
        <v>86</v>
      </c>
      <c r="B42" s="426" t="s">
        <v>266</v>
      </c>
      <c r="C42" s="299">
        <f>'9.1.1. sz. mell ÖNK'!C42+'9.1.2. sz. mell ÖNK'!C42+'9.1.3. sz. mell ÖNK'!C42</f>
        <v>14100000</v>
      </c>
    </row>
    <row r="43" spans="1:3" s="99" customFormat="1" ht="12" customHeight="1" x14ac:dyDescent="0.2">
      <c r="A43" s="445" t="s">
        <v>87</v>
      </c>
      <c r="B43" s="426" t="s">
        <v>267</v>
      </c>
      <c r="C43" s="299">
        <f>'9.1.1. sz. mell ÖNK'!C43+'9.1.2. sz. mell ÖNK'!C43+'9.1.3. sz. mell ÖNK'!C43</f>
        <v>3200000</v>
      </c>
    </row>
    <row r="44" spans="1:3" s="99" customFormat="1" ht="12" customHeight="1" x14ac:dyDescent="0.2">
      <c r="A44" s="445" t="s">
        <v>164</v>
      </c>
      <c r="B44" s="426" t="s">
        <v>268</v>
      </c>
      <c r="C44" s="299">
        <f>'9.1.1. sz. mell ÖNK'!C44+'9.1.2. sz. mell ÖNK'!C44+'9.1.3. sz. mell ÖNK'!C44</f>
        <v>0</v>
      </c>
    </row>
    <row r="45" spans="1:3" s="99" customFormat="1" ht="12" customHeight="1" x14ac:dyDescent="0.2">
      <c r="A45" s="445" t="s">
        <v>165</v>
      </c>
      <c r="B45" s="426" t="s">
        <v>269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166</v>
      </c>
      <c r="B46" s="426" t="s">
        <v>270</v>
      </c>
      <c r="C46" s="299">
        <f>'9.1.1. sz. mell ÖNK'!C46+'9.1.2. sz. mell ÖNK'!C46+'9.1.3. sz. mell ÖNK'!C46</f>
        <v>950498</v>
      </c>
    </row>
    <row r="47" spans="1:3" s="99" customFormat="1" ht="12" customHeight="1" x14ac:dyDescent="0.2">
      <c r="A47" s="445" t="s">
        <v>167</v>
      </c>
      <c r="B47" s="426" t="s">
        <v>271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5" t="s">
        <v>168</v>
      </c>
      <c r="B48" s="426" t="s">
        <v>546</v>
      </c>
      <c r="C48" s="299">
        <f>'9.1.1. sz. mell ÖNK'!C48+'9.1.2. sz. mell ÖNK'!C48+'9.1.3. sz. mell ÖNK'!C48</f>
        <v>0</v>
      </c>
    </row>
    <row r="49" spans="1:3" s="99" customFormat="1" ht="12" customHeight="1" x14ac:dyDescent="0.2">
      <c r="A49" s="445" t="s">
        <v>263</v>
      </c>
      <c r="B49" s="426" t="s">
        <v>273</v>
      </c>
      <c r="C49" s="299">
        <f>'9.1.1. sz. mell ÖNK'!C49+'9.1.2. sz. mell ÖNK'!C49+'9.1.3. sz. mell ÖNK'!C49</f>
        <v>0</v>
      </c>
    </row>
    <row r="50" spans="1:3" s="99" customFormat="1" ht="12" customHeight="1" x14ac:dyDescent="0.2">
      <c r="A50" s="446" t="s">
        <v>264</v>
      </c>
      <c r="B50" s="427" t="s">
        <v>428</v>
      </c>
      <c r="C50" s="299">
        <f>'9.1.1. sz. mell ÖNK'!C50+'9.1.2. sz. mell ÖNK'!C50+'9.1.3. sz. mell ÖNK'!C50</f>
        <v>0</v>
      </c>
    </row>
    <row r="51" spans="1:3" s="99" customFormat="1" ht="12" customHeight="1" thickBot="1" x14ac:dyDescent="0.25">
      <c r="A51" s="446" t="s">
        <v>427</v>
      </c>
      <c r="B51" s="427" t="s">
        <v>274</v>
      </c>
      <c r="C51" s="299">
        <f>'9.1.1. sz. mell ÖNK'!C51+'9.1.2. sz. mell ÖNK'!C51+'9.1.3. sz. mell ÖNK'!C51</f>
        <v>0</v>
      </c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10200000</v>
      </c>
    </row>
    <row r="53" spans="1:3" s="99" customFormat="1" ht="12" customHeight="1" x14ac:dyDescent="0.2">
      <c r="A53" s="444" t="s">
        <v>88</v>
      </c>
      <c r="B53" s="425" t="s">
        <v>279</v>
      </c>
      <c r="C53" s="470">
        <f>'9.1.1. sz. mell ÖNK'!C53+'9.1.2. sz. mell ÖNK'!C53+'9.1.3. sz. mell ÖNK'!C53</f>
        <v>0</v>
      </c>
    </row>
    <row r="54" spans="1:3" s="99" customFormat="1" ht="12" customHeight="1" x14ac:dyDescent="0.2">
      <c r="A54" s="445" t="s">
        <v>89</v>
      </c>
      <c r="B54" s="426" t="s">
        <v>280</v>
      </c>
      <c r="C54" s="470">
        <f>'9.1.1. sz. mell ÖNK'!C54+'9.1.2. sz. mell ÖNK'!C54+'9.1.3. sz. mell ÖNK'!C54</f>
        <v>10200000</v>
      </c>
    </row>
    <row r="55" spans="1:3" s="99" customFormat="1" ht="12" customHeight="1" x14ac:dyDescent="0.2">
      <c r="A55" s="445" t="s">
        <v>276</v>
      </c>
      <c r="B55" s="426" t="s">
        <v>281</v>
      </c>
      <c r="C55" s="470">
        <f>'9.1.1. sz. mell ÖNK'!C55+'9.1.2. sz. mell ÖNK'!C55+'9.1.3. sz. mell ÖNK'!C55</f>
        <v>0</v>
      </c>
    </row>
    <row r="56" spans="1:3" s="99" customFormat="1" ht="12" customHeight="1" x14ac:dyDescent="0.2">
      <c r="A56" s="445" t="s">
        <v>277</v>
      </c>
      <c r="B56" s="426" t="s">
        <v>282</v>
      </c>
      <c r="C56" s="470">
        <f>'9.1.1. sz. mell ÖNK'!C56+'9.1.2. sz. mell ÖNK'!C56+'9.1.3. sz. mell ÖNK'!C56</f>
        <v>0</v>
      </c>
    </row>
    <row r="57" spans="1:3" s="99" customFormat="1" ht="12" customHeight="1" thickBot="1" x14ac:dyDescent="0.25">
      <c r="A57" s="446" t="s">
        <v>278</v>
      </c>
      <c r="B57" s="427" t="s">
        <v>283</v>
      </c>
      <c r="C57" s="470">
        <f>'9.1.1. sz. mell ÖNK'!C57+'9.1.2. sz. mell ÖNK'!C57+'9.1.3. sz. mell ÖNK'!C57</f>
        <v>0</v>
      </c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>
        <f>'9.1.1. sz. mell ÖNK'!C59+'9.1.2. sz. mell ÖNK'!C59+'9.1.3. sz. mell ÖNK'!C59</f>
        <v>0</v>
      </c>
    </row>
    <row r="60" spans="1:3" s="99" customFormat="1" ht="12" customHeight="1" x14ac:dyDescent="0.2">
      <c r="A60" s="445" t="s">
        <v>91</v>
      </c>
      <c r="B60" s="426" t="s">
        <v>418</v>
      </c>
      <c r="C60" s="299">
        <f>'9.1.1. sz. mell ÖNK'!C60+'9.1.2. sz. mell ÖNK'!C60+'9.1.3. sz. mell ÖNK'!C60</f>
        <v>0</v>
      </c>
    </row>
    <row r="61" spans="1:3" s="99" customFormat="1" ht="12" customHeight="1" x14ac:dyDescent="0.2">
      <c r="A61" s="445" t="s">
        <v>288</v>
      </c>
      <c r="B61" s="426" t="s">
        <v>286</v>
      </c>
      <c r="C61" s="299">
        <f>'9.1.1. sz. mell ÖNK'!C61+'9.1.2. sz. mell ÖNK'!C61+'9.1.3. sz. mell ÖNK'!C61</f>
        <v>0</v>
      </c>
    </row>
    <row r="62" spans="1:3" s="99" customFormat="1" ht="12" customHeight="1" thickBot="1" x14ac:dyDescent="0.25">
      <c r="A62" s="446" t="s">
        <v>289</v>
      </c>
      <c r="B62" s="427" t="s">
        <v>287</v>
      </c>
      <c r="C62" s="299">
        <f>'9.1.1. sz. mell ÖNK'!C62+'9.1.2. sz. mell ÖNK'!C62+'9.1.3. sz. mell ÖNK'!C62</f>
        <v>0</v>
      </c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>
        <f>'9.1.1. sz. mell ÖNK'!C64+'9.1.2. sz. mell ÖNK'!C64+'9.1.3. sz. mell ÖNK'!C64</f>
        <v>0</v>
      </c>
    </row>
    <row r="65" spans="1:3" s="99" customFormat="1" ht="12" customHeight="1" x14ac:dyDescent="0.2">
      <c r="A65" s="445" t="s">
        <v>171</v>
      </c>
      <c r="B65" s="426" t="s">
        <v>419</v>
      </c>
      <c r="C65" s="301">
        <f>'9.1.1. sz. mell ÖNK'!C65+'9.1.2. sz. mell ÖNK'!C65+'9.1.3. sz. mell ÖNK'!C65</f>
        <v>0</v>
      </c>
    </row>
    <row r="66" spans="1:3" s="99" customFormat="1" ht="12" customHeight="1" x14ac:dyDescent="0.2">
      <c r="A66" s="445" t="s">
        <v>216</v>
      </c>
      <c r="B66" s="426" t="s">
        <v>293</v>
      </c>
      <c r="C66" s="301">
        <f>'9.1.1. sz. mell ÖNK'!C66+'9.1.2. sz. mell ÖNK'!C66+'9.1.3. sz. mell ÖNK'!C66</f>
        <v>0</v>
      </c>
    </row>
    <row r="67" spans="1:3" s="99" customFormat="1" ht="12" customHeight="1" thickBot="1" x14ac:dyDescent="0.25">
      <c r="A67" s="446" t="s">
        <v>291</v>
      </c>
      <c r="B67" s="427" t="s">
        <v>294</v>
      </c>
      <c r="C67" s="301">
        <f>'9.1.1. sz. mell ÖNK'!C67+'9.1.2. sz. mell ÖNK'!C67+'9.1.3. sz. mell ÖNK'!C67</f>
        <v>0</v>
      </c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1209552412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>
        <f>'9.1.1. sz. mell ÖNK'!C70+'9.1.2. sz. mell ÖNK'!C70+'9.1.3. sz. mell ÖNK'!C70</f>
        <v>0</v>
      </c>
    </row>
    <row r="71" spans="1:3" s="99" customFormat="1" ht="12" customHeight="1" x14ac:dyDescent="0.2">
      <c r="A71" s="445" t="s">
        <v>337</v>
      </c>
      <c r="B71" s="426" t="s">
        <v>299</v>
      </c>
      <c r="C71" s="301">
        <f>'9.1.1. sz. mell ÖNK'!C71+'9.1.2. sz. mell ÖNK'!C71+'9.1.3. sz. mell ÖNK'!C71</f>
        <v>0</v>
      </c>
    </row>
    <row r="72" spans="1:3" s="99" customFormat="1" ht="12" customHeight="1" thickBot="1" x14ac:dyDescent="0.25">
      <c r="A72" s="446" t="s">
        <v>338</v>
      </c>
      <c r="B72" s="428" t="s">
        <v>300</v>
      </c>
      <c r="C72" s="301">
        <f>'9.1.1. sz. mell ÖNK'!C72+'9.1.2. sz. mell ÖNK'!C72+'9.1.3. sz. mell ÖNK'!C72</f>
        <v>0</v>
      </c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>
        <f>'9.1.1. sz. mell ÖNK'!C74+'9.1.2. sz. mell ÖNK'!C74+'9.1.3. sz. mell ÖNK'!C74</f>
        <v>0</v>
      </c>
    </row>
    <row r="75" spans="1:3" s="99" customFormat="1" ht="12" customHeight="1" x14ac:dyDescent="0.2">
      <c r="A75" s="445" t="s">
        <v>143</v>
      </c>
      <c r="B75" s="426" t="s">
        <v>304</v>
      </c>
      <c r="C75" s="301">
        <f>'9.1.1. sz. mell ÖNK'!C75+'9.1.2. sz. mell ÖNK'!C75+'9.1.3. sz. mell ÖNK'!C75</f>
        <v>0</v>
      </c>
    </row>
    <row r="76" spans="1:3" s="99" customFormat="1" ht="12" customHeight="1" x14ac:dyDescent="0.2">
      <c r="A76" s="445" t="s">
        <v>329</v>
      </c>
      <c r="B76" s="426" t="s">
        <v>305</v>
      </c>
      <c r="C76" s="301">
        <f>'9.1.1. sz. mell ÖNK'!C76+'9.1.2. sz. mell ÖNK'!C76+'9.1.3. sz. mell ÖNK'!C76</f>
        <v>0</v>
      </c>
    </row>
    <row r="77" spans="1:3" s="99" customFormat="1" ht="12" customHeight="1" thickBot="1" x14ac:dyDescent="0.25">
      <c r="A77" s="446" t="s">
        <v>330</v>
      </c>
      <c r="B77" s="427" t="s">
        <v>306</v>
      </c>
      <c r="C77" s="301">
        <f>'9.1.1. sz. mell ÖNK'!C77+'9.1.2. sz. mell ÖNK'!C77+'9.1.3. sz. mell ÖNK'!C77</f>
        <v>0</v>
      </c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569108932</v>
      </c>
    </row>
    <row r="79" spans="1:3" s="99" customFormat="1" ht="12" customHeight="1" x14ac:dyDescent="0.2">
      <c r="A79" s="444" t="s">
        <v>331</v>
      </c>
      <c r="B79" s="425" t="s">
        <v>309</v>
      </c>
      <c r="C79" s="301">
        <f>'9.1.1. sz. mell ÖNK'!C79+'9.1.2. sz. mell ÖNK'!C79+'9.1.3. sz. mell ÖNK'!C79</f>
        <v>569108932</v>
      </c>
    </row>
    <row r="80" spans="1:3" s="99" customFormat="1" ht="12" customHeight="1" thickBot="1" x14ac:dyDescent="0.25">
      <c r="A80" s="446" t="s">
        <v>332</v>
      </c>
      <c r="B80" s="427" t="s">
        <v>310</v>
      </c>
      <c r="C80" s="301">
        <f>'9.1.1. sz. mell ÖNK'!C80+'9.1.2. sz. mell ÖNK'!C80+'9.1.3. sz. mell ÖNK'!C80</f>
        <v>0</v>
      </c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>
        <f>'9.1.1. sz. mell ÖNK'!C82+'9.1.2. sz. mell ÖNK'!C82+'9.1.3. sz. mell ÖNK'!C82</f>
        <v>0</v>
      </c>
    </row>
    <row r="83" spans="1:3" s="99" customFormat="1" ht="12" customHeight="1" x14ac:dyDescent="0.2">
      <c r="A83" s="445" t="s">
        <v>334</v>
      </c>
      <c r="B83" s="426" t="s">
        <v>314</v>
      </c>
      <c r="C83" s="301">
        <f>'9.1.1. sz. mell ÖNK'!C83+'9.1.2. sz. mell ÖNK'!C83+'9.1.3. sz. mell ÖNK'!C83</f>
        <v>0</v>
      </c>
    </row>
    <row r="84" spans="1:3" s="99" customFormat="1" ht="12" customHeight="1" thickBot="1" x14ac:dyDescent="0.25">
      <c r="A84" s="446" t="s">
        <v>335</v>
      </c>
      <c r="B84" s="427" t="s">
        <v>315</v>
      </c>
      <c r="C84" s="301">
        <f>'9.1.1. sz. mell ÖNK'!C84+'9.1.2. sz. mell ÖNK'!C84+'9.1.3. sz. mell ÖNK'!C84</f>
        <v>0</v>
      </c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>
        <f>'9.1.1. sz. mell ÖNK'!C86+'9.1.2. sz. mell ÖNK'!C86+'9.1.3. sz. mell ÖNK'!C86</f>
        <v>0</v>
      </c>
    </row>
    <row r="87" spans="1:3" s="99" customFormat="1" ht="12" customHeight="1" x14ac:dyDescent="0.2">
      <c r="A87" s="449" t="s">
        <v>319</v>
      </c>
      <c r="B87" s="426" t="s">
        <v>320</v>
      </c>
      <c r="C87" s="301">
        <f>'9.1.1. sz. mell ÖNK'!C87+'9.1.2. sz. mell ÖNK'!C87+'9.1.3. sz. mell ÖNK'!C87</f>
        <v>0</v>
      </c>
    </row>
    <row r="88" spans="1:3" s="99" customFormat="1" ht="12" customHeight="1" x14ac:dyDescent="0.2">
      <c r="A88" s="449" t="s">
        <v>321</v>
      </c>
      <c r="B88" s="426" t="s">
        <v>322</v>
      </c>
      <c r="C88" s="301">
        <f>'9.1.1. sz. mell ÖNK'!C88+'9.1.2. sz. mell ÖNK'!C88+'9.1.3. sz. mell ÖNK'!C88</f>
        <v>0</v>
      </c>
    </row>
    <row r="89" spans="1:3" s="98" customFormat="1" ht="12" customHeight="1" thickBot="1" x14ac:dyDescent="0.25">
      <c r="A89" s="450" t="s">
        <v>323</v>
      </c>
      <c r="B89" s="427" t="s">
        <v>324</v>
      </c>
      <c r="C89" s="301">
        <f>'9.1.1. sz. mell ÖNK'!C89+'9.1.2. sz. mell ÖNK'!C89+'9.1.3. sz. mell ÖNK'!C89</f>
        <v>0</v>
      </c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569108932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1778661344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+C97+C98+C99+C101+C102+C115</f>
        <v>548936967</v>
      </c>
    </row>
    <row r="97" spans="1:5" ht="12" customHeight="1" x14ac:dyDescent="0.2">
      <c r="A97" s="452" t="s">
        <v>92</v>
      </c>
      <c r="B97" s="10" t="s">
        <v>46</v>
      </c>
      <c r="C97" s="536">
        <f>'9.1.1. sz. mell ÖNK'!C97+'9.1.2. sz. mell ÖNK'!C97+'9.1.3. sz. mell ÖNK'!C97</f>
        <v>122613994</v>
      </c>
    </row>
    <row r="98" spans="1:5" ht="12" customHeight="1" x14ac:dyDescent="0.2">
      <c r="A98" s="445" t="s">
        <v>93</v>
      </c>
      <c r="B98" s="8" t="s">
        <v>172</v>
      </c>
      <c r="C98" s="298">
        <f>'9.1.1. sz. mell ÖNK'!C98+'9.1.2. sz. mell ÖNK'!C98+'9.1.3. sz. mell ÖNK'!C98</f>
        <v>13836569</v>
      </c>
    </row>
    <row r="99" spans="1:5" ht="12" customHeight="1" x14ac:dyDescent="0.2">
      <c r="A99" s="445" t="s">
        <v>94</v>
      </c>
      <c r="B99" s="8" t="s">
        <v>134</v>
      </c>
      <c r="C99" s="298">
        <f>'9.1.1. sz. mell ÖNK'!C99+'9.1.2. sz. mell ÖNK'!C99+'9.1.3. sz. mell ÖNK'!C99</f>
        <v>347286404</v>
      </c>
    </row>
    <row r="100" spans="1:5" ht="12" customHeight="1" x14ac:dyDescent="0.2">
      <c r="A100" s="445"/>
      <c r="B100" s="568" t="s">
        <v>607</v>
      </c>
      <c r="C100" s="537">
        <f>+'9.1.1. sz. mell ÖNK'!C100</f>
        <v>2200000</v>
      </c>
    </row>
    <row r="101" spans="1:5" ht="12" customHeight="1" x14ac:dyDescent="0.2">
      <c r="A101" s="445" t="s">
        <v>95</v>
      </c>
      <c r="B101" s="11" t="s">
        <v>173</v>
      </c>
      <c r="C101" s="298">
        <f>'9.1.1. sz. mell ÖNK'!C101+'9.1.2. sz. mell ÖNK'!C100+'9.1.3. sz. mell ÖNK'!C100</f>
        <v>28450000</v>
      </c>
    </row>
    <row r="102" spans="1:5" ht="12" customHeight="1" x14ac:dyDescent="0.2">
      <c r="A102" s="445" t="s">
        <v>106</v>
      </c>
      <c r="B102" s="19" t="s">
        <v>174</v>
      </c>
      <c r="C102" s="537">
        <f>'9.1.1. sz. mell ÖNK'!C102+'9.1.2. sz. mell ÖNK'!C101+'9.1.3. sz. mell ÖNK'!C101</f>
        <v>36750000</v>
      </c>
    </row>
    <row r="103" spans="1:5" ht="12" customHeight="1" x14ac:dyDescent="0.2">
      <c r="A103" s="445" t="s">
        <v>96</v>
      </c>
      <c r="B103" s="8" t="s">
        <v>498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97</v>
      </c>
      <c r="B104" s="149" t="s">
        <v>433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107</v>
      </c>
      <c r="B105" s="149" t="s">
        <v>432</v>
      </c>
      <c r="C105" s="298">
        <f>'9.1.1. sz. mell ÖNK'!C105+'9.1.2. sz. mell ÖNK'!C104+'9.1.3. sz. mell ÖNK'!C104</f>
        <v>0</v>
      </c>
    </row>
    <row r="106" spans="1:5" ht="12" customHeight="1" x14ac:dyDescent="0.2">
      <c r="A106" s="445" t="s">
        <v>108</v>
      </c>
      <c r="B106" s="149" t="s">
        <v>342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109</v>
      </c>
      <c r="B107" s="150" t="s">
        <v>343</v>
      </c>
      <c r="C107" s="298">
        <f>'9.1.1. sz. mell ÖNK'!C107+'9.1.2. sz. mell ÖNK'!C106+'9.1.3. sz. mell ÖNK'!C106</f>
        <v>0</v>
      </c>
    </row>
    <row r="108" spans="1:5" ht="12" customHeight="1" x14ac:dyDescent="0.2">
      <c r="A108" s="445" t="s">
        <v>110</v>
      </c>
      <c r="B108" s="150" t="s">
        <v>344</v>
      </c>
      <c r="C108" s="537">
        <f>'9.1.1. sz. mell ÖNK'!C108+'9.1.2. sz. mell ÖNK'!C107+'9.1.3. sz. mell ÖNK'!C107</f>
        <v>0</v>
      </c>
    </row>
    <row r="109" spans="1:5" ht="12" customHeight="1" x14ac:dyDescent="0.2">
      <c r="A109" s="445" t="s">
        <v>112</v>
      </c>
      <c r="B109" s="149" t="s">
        <v>345</v>
      </c>
      <c r="C109" s="298">
        <f>'9.1.1. sz. mell ÖNK'!C109+'9.1.2. sz. mell ÖNK'!C108+'9.1.3. sz. mell ÖNK'!C108</f>
        <v>1000000</v>
      </c>
    </row>
    <row r="110" spans="1:5" ht="12" customHeight="1" x14ac:dyDescent="0.2">
      <c r="A110" s="445" t="s">
        <v>175</v>
      </c>
      <c r="B110" s="149" t="s">
        <v>346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340</v>
      </c>
      <c r="B111" s="150" t="s">
        <v>347</v>
      </c>
      <c r="C111" s="298">
        <f>'9.1.1. sz. mell ÖNK'!C111+'9.1.2. sz. mell ÖNK'!C110+'9.1.3. sz. mell ÖNK'!C110</f>
        <v>0</v>
      </c>
      <c r="E111" s="44">
        <f>C159-C93</f>
        <v>0</v>
      </c>
    </row>
    <row r="112" spans="1:5" ht="12" customHeight="1" x14ac:dyDescent="0.2">
      <c r="A112" s="453" t="s">
        <v>341</v>
      </c>
      <c r="B112" s="151" t="s">
        <v>348</v>
      </c>
      <c r="C112" s="298">
        <f>'9.1.1. sz. mell ÖNK'!C112+'9.1.2. sz. mell ÖNK'!C111+'9.1.3. sz. mell ÖNK'!C111</f>
        <v>0</v>
      </c>
    </row>
    <row r="113" spans="1:3" ht="12" customHeight="1" x14ac:dyDescent="0.2">
      <c r="A113" s="445" t="s">
        <v>430</v>
      </c>
      <c r="B113" s="151" t="s">
        <v>349</v>
      </c>
      <c r="C113" s="298">
        <f>'9.1.1. sz. mell ÖNK'!C113+'9.1.2. sz. mell ÖNK'!C112+'9.1.3. sz. mell ÖNK'!C112</f>
        <v>0</v>
      </c>
    </row>
    <row r="114" spans="1:3" ht="12" customHeight="1" x14ac:dyDescent="0.2">
      <c r="A114" s="445" t="s">
        <v>431</v>
      </c>
      <c r="B114" s="150" t="s">
        <v>350</v>
      </c>
      <c r="C114" s="298">
        <f>'9.1.1. sz. mell ÖNK'!C114+'9.1.2. sz. mell ÖNK'!C113+'9.1.3. sz. mell ÖNK'!C113</f>
        <v>35750000</v>
      </c>
    </row>
    <row r="115" spans="1:3" ht="12" customHeight="1" x14ac:dyDescent="0.2">
      <c r="A115" s="445" t="s">
        <v>435</v>
      </c>
      <c r="B115" s="11" t="s">
        <v>47</v>
      </c>
      <c r="C115" s="298">
        <f>'9.1.1. sz. mell ÖNK'!C115+'9.1.2. sz. mell ÖNK'!C114+'9.1.3. sz. mell ÖNK'!C114</f>
        <v>0</v>
      </c>
    </row>
    <row r="116" spans="1:3" ht="12" customHeight="1" x14ac:dyDescent="0.2">
      <c r="A116" s="446" t="s">
        <v>436</v>
      </c>
      <c r="B116" s="8" t="s">
        <v>499</v>
      </c>
      <c r="C116" s="298">
        <f>'9.1.1. sz. mell ÖNK'!C116+'9.1.2. sz. mell ÖNK'!C115+'9.1.3. sz. mell ÖNK'!C115</f>
        <v>0</v>
      </c>
    </row>
    <row r="117" spans="1:3" ht="12" customHeight="1" thickBot="1" x14ac:dyDescent="0.25">
      <c r="A117" s="454" t="s">
        <v>437</v>
      </c>
      <c r="B117" s="152" t="s">
        <v>500</v>
      </c>
      <c r="C117" s="299">
        <f>'9.1.1. sz. mell ÖNK'!C117+'9.1.2. sz. mell ÖNK'!C116+'9.1.3. sz. mell ÖNK'!C116</f>
        <v>0</v>
      </c>
    </row>
    <row r="118" spans="1:3" ht="12" customHeight="1" thickBot="1" x14ac:dyDescent="0.25">
      <c r="A118" s="33" t="s">
        <v>16</v>
      </c>
      <c r="B118" s="27" t="s">
        <v>351</v>
      </c>
      <c r="C118" s="296">
        <f>+C119+C121+C123</f>
        <v>681792969</v>
      </c>
    </row>
    <row r="119" spans="1:3" ht="12" customHeight="1" x14ac:dyDescent="0.2">
      <c r="A119" s="444" t="s">
        <v>98</v>
      </c>
      <c r="B119" s="8" t="s">
        <v>214</v>
      </c>
      <c r="C119" s="299">
        <f>'9.1.1. sz. mell ÖNK'!C119+'9.1.2. sz. mell ÖNK'!C118+'9.1.3. sz. mell ÖNK'!C97</f>
        <v>655472219</v>
      </c>
    </row>
    <row r="120" spans="1:3" ht="12" customHeight="1" x14ac:dyDescent="0.2">
      <c r="A120" s="444" t="s">
        <v>99</v>
      </c>
      <c r="B120" s="12" t="s">
        <v>355</v>
      </c>
      <c r="C120" s="299">
        <f>'9.1.1. sz. mell ÖNK'!C120+'9.1.2. sz. mell ÖNK'!C119+'9.1.3. sz. mell ÖNK'!C98</f>
        <v>0</v>
      </c>
    </row>
    <row r="121" spans="1:3" ht="12" customHeight="1" x14ac:dyDescent="0.2">
      <c r="A121" s="444" t="s">
        <v>100</v>
      </c>
      <c r="B121" s="12" t="s">
        <v>176</v>
      </c>
      <c r="C121" s="299">
        <f>'9.1.1. sz. mell ÖNK'!C121+'9.1.2. sz. mell ÖNK'!C120+'9.1.3. sz. mell ÖNK'!C99</f>
        <v>26320750</v>
      </c>
    </row>
    <row r="122" spans="1:3" ht="12" customHeight="1" x14ac:dyDescent="0.2">
      <c r="A122" s="444" t="s">
        <v>101</v>
      </c>
      <c r="B122" s="12" t="s">
        <v>356</v>
      </c>
      <c r="C122" s="299">
        <f>'9.1.1. sz. mell ÖNK'!C122+'9.1.2. sz. mell ÖNK'!C121+'9.1.3. sz. mell ÖNK'!C100</f>
        <v>0</v>
      </c>
    </row>
    <row r="123" spans="1:3" ht="12" customHeight="1" x14ac:dyDescent="0.2">
      <c r="A123" s="444" t="s">
        <v>102</v>
      </c>
      <c r="B123" s="293" t="s">
        <v>217</v>
      </c>
      <c r="C123" s="299">
        <f>'9.1.1. sz. mell ÖNK'!C123+'9.1.2. sz. mell ÖNK'!C122+'9.1.3. sz. mell ÖNK'!C101</f>
        <v>0</v>
      </c>
    </row>
    <row r="124" spans="1:3" ht="12" customHeight="1" x14ac:dyDescent="0.2">
      <c r="A124" s="444" t="s">
        <v>111</v>
      </c>
      <c r="B124" s="292" t="s">
        <v>420</v>
      </c>
      <c r="C124" s="299">
        <f>'9.1.1. sz. mell ÖNK'!C124+'9.1.2. sz. mell ÖNK'!C123+'9.1.3. sz. mell ÖNK'!C102</f>
        <v>0</v>
      </c>
    </row>
    <row r="125" spans="1:3" ht="12" customHeight="1" x14ac:dyDescent="0.2">
      <c r="A125" s="444" t="s">
        <v>113</v>
      </c>
      <c r="B125" s="421" t="s">
        <v>361</v>
      </c>
      <c r="C125" s="299">
        <f>'9.1.1. sz. mell ÖNK'!C125+'9.1.2. sz. mell ÖNK'!C124+'9.1.3. sz. mell ÖNK'!C103</f>
        <v>0</v>
      </c>
    </row>
    <row r="126" spans="1:3" ht="12" customHeight="1" x14ac:dyDescent="0.2">
      <c r="A126" s="444" t="s">
        <v>177</v>
      </c>
      <c r="B126" s="150" t="s">
        <v>344</v>
      </c>
      <c r="C126" s="299">
        <f>'9.1.1. sz. mell ÖNK'!C126+'9.1.2. sz. mell ÖNK'!C125+'9.1.3. sz. mell ÖNK'!C104</f>
        <v>0</v>
      </c>
    </row>
    <row r="127" spans="1:3" ht="12" customHeight="1" x14ac:dyDescent="0.2">
      <c r="A127" s="444" t="s">
        <v>178</v>
      </c>
      <c r="B127" s="150" t="s">
        <v>360</v>
      </c>
      <c r="C127" s="299">
        <f>'9.1.1. sz. mell ÖNK'!C127+'9.1.2. sz. mell ÖNK'!C126+'9.1.3. sz. mell ÖNK'!C105</f>
        <v>0</v>
      </c>
    </row>
    <row r="128" spans="1:3" ht="12" customHeight="1" x14ac:dyDescent="0.2">
      <c r="A128" s="444" t="s">
        <v>179</v>
      </c>
      <c r="B128" s="150" t="s">
        <v>359</v>
      </c>
      <c r="C128" s="299">
        <f>'9.1.1. sz. mell ÖNK'!C128+'9.1.2. sz. mell ÖNK'!C127+'9.1.3. sz. mell ÖNK'!C106</f>
        <v>0</v>
      </c>
    </row>
    <row r="129" spans="1:11" ht="12" customHeight="1" x14ac:dyDescent="0.2">
      <c r="A129" s="444" t="s">
        <v>352</v>
      </c>
      <c r="B129" s="150" t="s">
        <v>347</v>
      </c>
      <c r="C129" s="299">
        <f>'9.1.1. sz. mell ÖNK'!C129+'9.1.2. sz. mell ÖNK'!C128+'9.1.3. sz. mell ÖNK'!C107</f>
        <v>0</v>
      </c>
    </row>
    <row r="130" spans="1:11" ht="12" customHeight="1" x14ac:dyDescent="0.2">
      <c r="A130" s="444" t="s">
        <v>353</v>
      </c>
      <c r="B130" s="150" t="s">
        <v>358</v>
      </c>
      <c r="C130" s="299">
        <f>'9.1.1. sz. mell ÖNK'!C130+'9.1.2. sz. mell ÖNK'!C129+'9.1.3. sz. mell ÖNK'!C108</f>
        <v>0</v>
      </c>
    </row>
    <row r="131" spans="1:11" ht="12" customHeight="1" thickBot="1" x14ac:dyDescent="0.25">
      <c r="A131" s="453" t="s">
        <v>354</v>
      </c>
      <c r="B131" s="150" t="s">
        <v>357</v>
      </c>
      <c r="C131" s="299">
        <f>'9.1.1. sz. mell ÖNK'!C131+'9.1.2. sz. mell ÖNK'!C130+'9.1.3. sz. mell ÖNK'!C109</f>
        <v>0</v>
      </c>
    </row>
    <row r="132" spans="1:11" ht="12" customHeight="1" thickBot="1" x14ac:dyDescent="0.25">
      <c r="A132" s="33" t="s">
        <v>17</v>
      </c>
      <c r="B132" s="132" t="s">
        <v>440</v>
      </c>
      <c r="C132" s="296">
        <f>+C96+C118</f>
        <v>1230729936</v>
      </c>
    </row>
    <row r="133" spans="1:11" ht="12" customHeight="1" thickBot="1" x14ac:dyDescent="0.25">
      <c r="A133" s="33" t="s">
        <v>18</v>
      </c>
      <c r="B133" s="132" t="s">
        <v>441</v>
      </c>
      <c r="C133" s="296">
        <f>+C134+C135+C136</f>
        <v>11440000</v>
      </c>
    </row>
    <row r="134" spans="1:11" s="100" customFormat="1" ht="12" customHeight="1" x14ac:dyDescent="0.2">
      <c r="A134" s="444" t="s">
        <v>256</v>
      </c>
      <c r="B134" s="9" t="s">
        <v>504</v>
      </c>
      <c r="C134" s="279">
        <f>'9.1.1. sz. mell ÖNK'!C134+'9.1.2. sz. mell ÖNK'!C133+'9.1.3. sz. mell ÖNK'!C133</f>
        <v>11440000</v>
      </c>
    </row>
    <row r="135" spans="1:11" ht="12" customHeight="1" x14ac:dyDescent="0.2">
      <c r="A135" s="444" t="s">
        <v>257</v>
      </c>
      <c r="B135" s="9" t="s">
        <v>449</v>
      </c>
      <c r="C135" s="279">
        <f>'9.1.1. sz. mell ÖNK'!C135+'9.1.2. sz. mell ÖNK'!C134+'9.1.3. sz. mell ÖNK'!C134</f>
        <v>0</v>
      </c>
    </row>
    <row r="136" spans="1:11" ht="12" customHeight="1" thickBot="1" x14ac:dyDescent="0.25">
      <c r="A136" s="453" t="s">
        <v>258</v>
      </c>
      <c r="B136" s="7" t="s">
        <v>503</v>
      </c>
      <c r="C136" s="279">
        <f>'9.1.1. sz. mell ÖNK'!C136+'9.1.2. sz. mell ÖNK'!C135+'9.1.3. sz. mell ÖNK'!C135</f>
        <v>0</v>
      </c>
    </row>
    <row r="137" spans="1:11" ht="12" customHeight="1" thickBot="1" x14ac:dyDescent="0.25">
      <c r="A137" s="33" t="s">
        <v>19</v>
      </c>
      <c r="B137" s="132" t="s">
        <v>442</v>
      </c>
      <c r="C137" s="296">
        <f>+C138+C139+C140+C141+C142+C143</f>
        <v>0</v>
      </c>
    </row>
    <row r="138" spans="1:11" ht="12" customHeight="1" x14ac:dyDescent="0.2">
      <c r="A138" s="444" t="s">
        <v>85</v>
      </c>
      <c r="B138" s="9" t="s">
        <v>451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86</v>
      </c>
      <c r="B139" s="9" t="s">
        <v>443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87</v>
      </c>
      <c r="B140" s="9" t="s">
        <v>444</v>
      </c>
      <c r="C140" s="279">
        <f>'9.1.1. sz. mell ÖNK'!C140+'9.1.2. sz. mell ÖNK'!C139+'9.1.3. sz. mell ÖNK'!C139</f>
        <v>0</v>
      </c>
    </row>
    <row r="141" spans="1:11" ht="12" customHeight="1" x14ac:dyDescent="0.2">
      <c r="A141" s="444" t="s">
        <v>164</v>
      </c>
      <c r="B141" s="9" t="s">
        <v>502</v>
      </c>
      <c r="C141" s="279">
        <f>'9.1.1. sz. mell ÖNK'!C141+'9.1.2. sz. mell ÖNK'!C140+'9.1.3. sz. mell ÖNK'!C140</f>
        <v>0</v>
      </c>
    </row>
    <row r="142" spans="1:11" ht="12" customHeight="1" x14ac:dyDescent="0.2">
      <c r="A142" s="444" t="s">
        <v>165</v>
      </c>
      <c r="B142" s="9" t="s">
        <v>446</v>
      </c>
      <c r="C142" s="279">
        <f>'9.1.1. sz. mell ÖNK'!C142+'9.1.2. sz. mell ÖNK'!C141+'9.1.3. sz. mell ÖNK'!C141</f>
        <v>0</v>
      </c>
    </row>
    <row r="143" spans="1:11" s="100" customFormat="1" ht="12" customHeight="1" thickBot="1" x14ac:dyDescent="0.25">
      <c r="A143" s="453" t="s">
        <v>166</v>
      </c>
      <c r="B143" s="7" t="s">
        <v>447</v>
      </c>
      <c r="C143" s="279">
        <f>'9.1.1. sz. mell ÖNK'!C143+'9.1.2. sz. mell ÖNK'!C142+'9.1.3. sz. mell ÖNK'!C142</f>
        <v>0</v>
      </c>
    </row>
    <row r="144" spans="1:11" ht="12" customHeight="1" thickBot="1" x14ac:dyDescent="0.25">
      <c r="A144" s="33" t="s">
        <v>20</v>
      </c>
      <c r="B144" s="132" t="s">
        <v>529</v>
      </c>
      <c r="C144" s="302">
        <f>+C145+C146+C148+C149+C147</f>
        <v>536491408</v>
      </c>
      <c r="K144" s="261"/>
    </row>
    <row r="145" spans="1:3" x14ac:dyDescent="0.2">
      <c r="A145" s="444" t="s">
        <v>88</v>
      </c>
      <c r="B145" s="9" t="s">
        <v>362</v>
      </c>
      <c r="C145" s="279">
        <f>'9.1.1. sz. mell ÖNK'!C145+'9.1.2. sz. mell ÖNK'!C144+'9.1.3. sz. mell ÖNK'!C144</f>
        <v>0</v>
      </c>
    </row>
    <row r="146" spans="1:3" ht="12" customHeight="1" x14ac:dyDescent="0.2">
      <c r="A146" s="444" t="s">
        <v>89</v>
      </c>
      <c r="B146" s="9" t="s">
        <v>363</v>
      </c>
      <c r="C146" s="279">
        <f>'9.1.1. sz. mell ÖNK'!C146+'9.1.2. sz. mell ÖNK'!C145+'9.1.3. sz. mell ÖNK'!C145</f>
        <v>19566899</v>
      </c>
    </row>
    <row r="147" spans="1:3" ht="12" customHeight="1" x14ac:dyDescent="0.2">
      <c r="A147" s="444" t="s">
        <v>276</v>
      </c>
      <c r="B147" s="9" t="s">
        <v>528</v>
      </c>
      <c r="C147" s="279">
        <f>'9.1.1. sz. mell ÖNK'!C147+'9.1.2. sz. mell ÖNK'!C146+'9.1.3. sz. mell ÖNK'!C146</f>
        <v>516431134</v>
      </c>
    </row>
    <row r="148" spans="1:3" s="100" customFormat="1" ht="12" customHeight="1" x14ac:dyDescent="0.2">
      <c r="A148" s="444" t="s">
        <v>277</v>
      </c>
      <c r="B148" s="9" t="s">
        <v>456</v>
      </c>
      <c r="C148" s="279">
        <f>'9.1.1. sz. mell ÖNK'!C148+'9.1.2. sz. mell ÖNK'!C147+'9.1.3. sz. mell ÖNK'!C147</f>
        <v>0</v>
      </c>
    </row>
    <row r="149" spans="1:3" s="100" customFormat="1" ht="12" customHeight="1" thickBot="1" x14ac:dyDescent="0.25">
      <c r="A149" s="453" t="s">
        <v>278</v>
      </c>
      <c r="B149" s="7" t="s">
        <v>382</v>
      </c>
      <c r="C149" s="279">
        <f>'9.1.1. sz. mell ÖNK'!C149+'9.1.2. sz. mell ÖNK'!C148+'9.1.3. sz. mell ÖNK'!C148</f>
        <v>493375</v>
      </c>
    </row>
    <row r="150" spans="1:3" s="100" customFormat="1" ht="12" customHeight="1" thickBot="1" x14ac:dyDescent="0.25">
      <c r="A150" s="33" t="s">
        <v>21</v>
      </c>
      <c r="B150" s="132" t="s">
        <v>457</v>
      </c>
      <c r="C150" s="305">
        <f>+C151+C152+C153+C154+C155</f>
        <v>0</v>
      </c>
    </row>
    <row r="151" spans="1:3" s="100" customFormat="1" ht="12" customHeight="1" x14ac:dyDescent="0.2">
      <c r="A151" s="444" t="s">
        <v>90</v>
      </c>
      <c r="B151" s="9" t="s">
        <v>452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91</v>
      </c>
      <c r="B152" s="9" t="s">
        <v>459</v>
      </c>
      <c r="C152" s="279">
        <f>'9.1.1. sz. mell ÖNK'!C152+'9.1.2. sz. mell ÖNK'!C151+'9.1.3. sz. mell ÖNK'!C151</f>
        <v>0</v>
      </c>
    </row>
    <row r="153" spans="1:3" s="100" customFormat="1" ht="12" customHeight="1" x14ac:dyDescent="0.2">
      <c r="A153" s="444" t="s">
        <v>288</v>
      </c>
      <c r="B153" s="9" t="s">
        <v>454</v>
      </c>
      <c r="C153" s="279">
        <f>'9.1.1. sz. mell ÖNK'!C153+'9.1.2. sz. mell ÖNK'!C152+'9.1.3. sz. mell ÖNK'!C152</f>
        <v>0</v>
      </c>
    </row>
    <row r="154" spans="1:3" s="100" customFormat="1" ht="12" customHeight="1" x14ac:dyDescent="0.2">
      <c r="A154" s="444" t="s">
        <v>289</v>
      </c>
      <c r="B154" s="9" t="s">
        <v>505</v>
      </c>
      <c r="C154" s="279">
        <f>'9.1.1. sz. mell ÖNK'!C154+'9.1.2. sz. mell ÖNK'!C153+'9.1.3. sz. mell ÖNK'!C153</f>
        <v>0</v>
      </c>
    </row>
    <row r="155" spans="1:3" ht="12.75" customHeight="1" thickBot="1" x14ac:dyDescent="0.25">
      <c r="A155" s="453" t="s">
        <v>458</v>
      </c>
      <c r="B155" s="7" t="s">
        <v>461</v>
      </c>
      <c r="C155" s="281">
        <f>'9.1.1. sz. mell ÖNK'!C155+'9.1.2. sz. mell ÖNK'!C154+'9.1.3. sz. mell ÖNK'!C154</f>
        <v>0</v>
      </c>
    </row>
    <row r="156" spans="1:3" ht="12.75" customHeight="1" thickBot="1" x14ac:dyDescent="0.25">
      <c r="A156" s="497" t="s">
        <v>22</v>
      </c>
      <c r="B156" s="132" t="s">
        <v>462</v>
      </c>
      <c r="C156" s="539">
        <f>'9.1.1. sz. mell ÖNK'!C156+'9.1.2. sz. mell ÖNK'!C155+'9.1.3. sz. mell ÖNK'!C155</f>
        <v>0</v>
      </c>
    </row>
    <row r="157" spans="1:3" ht="12.75" customHeight="1" thickBot="1" x14ac:dyDescent="0.25">
      <c r="A157" s="538" t="s">
        <v>23</v>
      </c>
      <c r="B157" s="533" t="s">
        <v>463</v>
      </c>
      <c r="C157" s="280">
        <f>'9.1.1. sz. mell ÖNK'!C157+'9.1.2. sz. mell ÖNK'!C156+'9.1.3. sz. mell ÖNK'!C156</f>
        <v>0</v>
      </c>
    </row>
    <row r="158" spans="1:3" ht="12" customHeight="1" thickBot="1" x14ac:dyDescent="0.25">
      <c r="A158" s="33" t="s">
        <v>24</v>
      </c>
      <c r="B158" s="132" t="s">
        <v>465</v>
      </c>
      <c r="C158" s="435">
        <f>+C133+C137+C144+C150+C156+C157</f>
        <v>547931408</v>
      </c>
    </row>
    <row r="159" spans="1:3" ht="15" customHeight="1" thickBot="1" x14ac:dyDescent="0.25">
      <c r="A159" s="455" t="s">
        <v>25</v>
      </c>
      <c r="B159" s="387" t="s">
        <v>464</v>
      </c>
      <c r="C159" s="435">
        <f>+C132+C158</f>
        <v>1778661344</v>
      </c>
    </row>
    <row r="160" spans="1:3" ht="13.5" thickBot="1" x14ac:dyDescent="0.25">
      <c r="A160" s="395"/>
      <c r="B160" s="396"/>
      <c r="C160" s="397"/>
    </row>
    <row r="161" spans="1:3" ht="15" customHeight="1" thickBot="1" x14ac:dyDescent="0.25">
      <c r="A161" s="258" t="s">
        <v>506</v>
      </c>
      <c r="B161" s="259"/>
      <c r="C161" s="129">
        <f>'9.1.1. sz. mell ÖNK'!C161+'9.1.2. sz. mell ÖNK'!C160+'9.1.3. sz. mell ÖNK'!C160</f>
        <v>0</v>
      </c>
    </row>
    <row r="162" spans="1:3" ht="14.25" customHeight="1" thickBot="1" x14ac:dyDescent="0.25">
      <c r="A162" s="258" t="s">
        <v>195</v>
      </c>
      <c r="B162" s="259"/>
      <c r="C162" s="129">
        <f>'9.1.1. sz. mell ÖNK'!C162+'9.1.2. sz. mell ÖNK'!C161+'9.1.3. sz. mell ÖNK'!C161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2"/>
  <sheetViews>
    <sheetView zoomScale="125" zoomScaleNormal="125" zoomScaleSheetLayoutView="130" workbookViewId="0">
      <selection activeCell="A10" sqref="A10:B1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…./2020. (……..) önkormányzati rendelethez</v>
      </c>
    </row>
    <row r="2" spans="1:5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561</v>
      </c>
    </row>
    <row r="5" spans="1:5" ht="13.5" thickBot="1" x14ac:dyDescent="0.25">
      <c r="A5" s="416" t="s">
        <v>194</v>
      </c>
      <c r="B5" s="242" t="s">
        <v>550</v>
      </c>
      <c r="C5" s="360" t="s">
        <v>689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+C9+C10+C13+C14+C15+C16</f>
        <v>531122488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v>209740590</v>
      </c>
    </row>
    <row r="10" spans="1:5" s="99" customFormat="1" ht="12" customHeight="1" x14ac:dyDescent="0.2">
      <c r="A10" s="445" t="s">
        <v>93</v>
      </c>
      <c r="B10" s="426" t="s">
        <v>710</v>
      </c>
      <c r="C10" s="298">
        <v>74292320</v>
      </c>
    </row>
    <row r="11" spans="1:5" s="99" customFormat="1" ht="12" customHeight="1" x14ac:dyDescent="0.2">
      <c r="A11" s="445" t="s">
        <v>712</v>
      </c>
      <c r="B11" s="426" t="s">
        <v>708</v>
      </c>
      <c r="C11" s="298">
        <v>110495468</v>
      </c>
    </row>
    <row r="12" spans="1:5" s="99" customFormat="1" ht="12" customHeight="1" x14ac:dyDescent="0.2">
      <c r="A12" s="445" t="s">
        <v>713</v>
      </c>
      <c r="B12" s="426" t="s">
        <v>709</v>
      </c>
      <c r="C12" s="298">
        <v>85970896</v>
      </c>
    </row>
    <row r="13" spans="1:5" s="99" customFormat="1" ht="24.75" customHeight="1" x14ac:dyDescent="0.2">
      <c r="A13" s="445" t="s">
        <v>94</v>
      </c>
      <c r="B13" s="426" t="s">
        <v>714</v>
      </c>
      <c r="C13" s="298">
        <f>+C11+C12</f>
        <v>196466364</v>
      </c>
    </row>
    <row r="14" spans="1:5" s="99" customFormat="1" ht="12" customHeight="1" x14ac:dyDescent="0.2">
      <c r="A14" s="445" t="s">
        <v>95</v>
      </c>
      <c r="B14" s="426" t="s">
        <v>711</v>
      </c>
      <c r="C14" s="298">
        <f>8673183</f>
        <v>8673183</v>
      </c>
      <c r="E14" s="567">
        <f>SUM(E15:E17)+E19</f>
        <v>3956400</v>
      </c>
    </row>
    <row r="15" spans="1:5" s="99" customFormat="1" ht="12" customHeight="1" x14ac:dyDescent="0.2">
      <c r="A15" s="445" t="s">
        <v>141</v>
      </c>
      <c r="B15" s="426" t="s">
        <v>493</v>
      </c>
      <c r="C15" s="298">
        <v>41950031</v>
      </c>
      <c r="D15" s="544" t="s">
        <v>564</v>
      </c>
      <c r="E15" s="543">
        <v>3360000</v>
      </c>
    </row>
    <row r="16" spans="1:5" s="98" customFormat="1" ht="12" customHeight="1" thickBot="1" x14ac:dyDescent="0.25">
      <c r="A16" s="446" t="s">
        <v>96</v>
      </c>
      <c r="B16" s="427" t="s">
        <v>425</v>
      </c>
      <c r="C16" s="298"/>
      <c r="D16" s="544" t="s">
        <v>565</v>
      </c>
      <c r="E16" s="543"/>
    </row>
    <row r="17" spans="1:6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124186265</v>
      </c>
      <c r="D17" s="544" t="s">
        <v>566</v>
      </c>
      <c r="E17" s="543"/>
    </row>
    <row r="18" spans="1:6" s="98" customFormat="1" ht="12" customHeight="1" x14ac:dyDescent="0.2">
      <c r="A18" s="444" t="s">
        <v>98</v>
      </c>
      <c r="B18" s="425" t="s">
        <v>246</v>
      </c>
      <c r="C18" s="299"/>
      <c r="D18" s="544" t="s">
        <v>617</v>
      </c>
      <c r="E18" s="543"/>
    </row>
    <row r="19" spans="1:6" s="98" customFormat="1" ht="12" customHeight="1" x14ac:dyDescent="0.2">
      <c r="A19" s="445" t="s">
        <v>99</v>
      </c>
      <c r="B19" s="426" t="s">
        <v>247</v>
      </c>
      <c r="C19" s="298"/>
      <c r="D19" s="99" t="s">
        <v>567</v>
      </c>
      <c r="E19" s="543">
        <v>596400</v>
      </c>
    </row>
    <row r="20" spans="1:6" s="98" customFormat="1" ht="12" customHeight="1" x14ac:dyDescent="0.2">
      <c r="A20" s="445" t="s">
        <v>100</v>
      </c>
      <c r="B20" s="426" t="s">
        <v>414</v>
      </c>
      <c r="C20" s="298"/>
      <c r="E20" s="543"/>
    </row>
    <row r="21" spans="1:6" s="98" customFormat="1" ht="12" customHeight="1" x14ac:dyDescent="0.2">
      <c r="A21" s="445" t="s">
        <v>101</v>
      </c>
      <c r="B21" s="426" t="s">
        <v>415</v>
      </c>
      <c r="C21" s="298"/>
      <c r="E21" s="545"/>
    </row>
    <row r="22" spans="1:6" s="98" customFormat="1" ht="12" customHeight="1" x14ac:dyDescent="0.2">
      <c r="A22" s="445" t="s">
        <v>102</v>
      </c>
      <c r="B22" s="426" t="s">
        <v>248</v>
      </c>
      <c r="C22" s="298">
        <f>131597425-'9.1.2. sz. mell ÖNK'!C22</f>
        <v>124186265</v>
      </c>
      <c r="D22" s="544" t="s">
        <v>641</v>
      </c>
      <c r="E22" s="543">
        <v>1552395</v>
      </c>
    </row>
    <row r="23" spans="1:6" s="99" customFormat="1" ht="12" customHeight="1" thickBot="1" x14ac:dyDescent="0.25">
      <c r="A23" s="446" t="s">
        <v>111</v>
      </c>
      <c r="B23" s="427" t="s">
        <v>249</v>
      </c>
      <c r="C23" s="300"/>
      <c r="D23" s="566" t="s">
        <v>642</v>
      </c>
      <c r="E23" s="543">
        <f>3295354+9252406+1483613</f>
        <v>14031373</v>
      </c>
      <c r="F23" s="567">
        <f>+E22+E23+E24</f>
        <v>15583768</v>
      </c>
    </row>
    <row r="24" spans="1:6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369130289</v>
      </c>
      <c r="E24" s="543"/>
    </row>
    <row r="25" spans="1:6" s="99" customFormat="1" ht="12" customHeight="1" x14ac:dyDescent="0.2">
      <c r="A25" s="444" t="s">
        <v>81</v>
      </c>
      <c r="B25" s="425" t="s">
        <v>251</v>
      </c>
      <c r="C25" s="299"/>
      <c r="E25" s="567"/>
    </row>
    <row r="26" spans="1:6" s="98" customFormat="1" ht="12" customHeight="1" x14ac:dyDescent="0.2">
      <c r="A26" s="445" t="s">
        <v>82</v>
      </c>
      <c r="B26" s="426" t="s">
        <v>252</v>
      </c>
      <c r="C26" s="298"/>
      <c r="D26" s="544" t="s">
        <v>605</v>
      </c>
      <c r="E26" s="543"/>
    </row>
    <row r="27" spans="1:6" s="99" customFormat="1" ht="12" customHeight="1" x14ac:dyDescent="0.2">
      <c r="A27" s="445" t="s">
        <v>83</v>
      </c>
      <c r="B27" s="426" t="s">
        <v>416</v>
      </c>
      <c r="C27" s="298"/>
      <c r="E27" s="567">
        <f>E25+E26</f>
        <v>0</v>
      </c>
    </row>
    <row r="28" spans="1:6" s="99" customFormat="1" ht="12" customHeight="1" x14ac:dyDescent="0.2">
      <c r="A28" s="445" t="s">
        <v>84</v>
      </c>
      <c r="B28" s="426" t="s">
        <v>417</v>
      </c>
      <c r="C28" s="298"/>
    </row>
    <row r="29" spans="1:6" s="99" customFormat="1" ht="12" customHeight="1" x14ac:dyDescent="0.2">
      <c r="A29" s="445" t="s">
        <v>160</v>
      </c>
      <c r="B29" s="426" t="s">
        <v>253</v>
      </c>
      <c r="C29" s="298">
        <v>369130289</v>
      </c>
    </row>
    <row r="30" spans="1:6" s="99" customFormat="1" ht="12" customHeight="1" thickBot="1" x14ac:dyDescent="0.25">
      <c r="A30" s="446" t="s">
        <v>161</v>
      </c>
      <c r="B30" s="427" t="s">
        <v>254</v>
      </c>
      <c r="C30" s="300"/>
    </row>
    <row r="31" spans="1:6" s="99" customFormat="1" ht="12" customHeight="1" thickBot="1" x14ac:dyDescent="0.25">
      <c r="A31" s="33" t="s">
        <v>162</v>
      </c>
      <c r="B31" s="21" t="s">
        <v>547</v>
      </c>
      <c r="C31" s="302">
        <f>SUM(C32:C39)</f>
        <v>143954128</v>
      </c>
    </row>
    <row r="32" spans="1:6" s="99" customFormat="1" ht="12" customHeight="1" x14ac:dyDescent="0.2">
      <c r="A32" s="444" t="s">
        <v>256</v>
      </c>
      <c r="B32" s="425" t="s">
        <v>542</v>
      </c>
      <c r="C32" s="299"/>
    </row>
    <row r="33" spans="1:6" s="99" customFormat="1" ht="12" customHeight="1" x14ac:dyDescent="0.2">
      <c r="A33" s="445" t="s">
        <v>257</v>
      </c>
      <c r="B33" s="426" t="s">
        <v>543</v>
      </c>
      <c r="C33" s="298">
        <v>15000</v>
      </c>
    </row>
    <row r="34" spans="1:6" s="99" customFormat="1" ht="12" customHeight="1" x14ac:dyDescent="0.2">
      <c r="A34" s="445" t="s">
        <v>258</v>
      </c>
      <c r="B34" s="426" t="s">
        <v>618</v>
      </c>
      <c r="C34" s="298">
        <v>16500000</v>
      </c>
    </row>
    <row r="35" spans="1:6" s="99" customFormat="1" ht="12" customHeight="1" x14ac:dyDescent="0.2">
      <c r="A35" s="445" t="s">
        <v>259</v>
      </c>
      <c r="B35" s="426" t="s">
        <v>544</v>
      </c>
      <c r="C35" s="298">
        <f>109000000-'9.1.2. sz. mell ÖNK'!C35</f>
        <v>107239128</v>
      </c>
    </row>
    <row r="36" spans="1:6" s="99" customFormat="1" ht="12" customHeight="1" x14ac:dyDescent="0.2">
      <c r="A36" s="445" t="s">
        <v>539</v>
      </c>
      <c r="B36" s="426" t="s">
        <v>545</v>
      </c>
      <c r="C36" s="298">
        <v>100000</v>
      </c>
      <c r="E36" s="542"/>
    </row>
    <row r="37" spans="1:6" s="99" customFormat="1" ht="12" customHeight="1" x14ac:dyDescent="0.2">
      <c r="A37" s="445" t="s">
        <v>540</v>
      </c>
      <c r="B37" s="426" t="s">
        <v>260</v>
      </c>
      <c r="C37" s="298">
        <v>16800000</v>
      </c>
      <c r="E37" s="542"/>
    </row>
    <row r="38" spans="1:6" s="99" customFormat="1" ht="12" customHeight="1" x14ac:dyDescent="0.2">
      <c r="A38" s="446" t="s">
        <v>541</v>
      </c>
      <c r="B38" s="426" t="s">
        <v>261</v>
      </c>
      <c r="C38" s="298"/>
      <c r="E38" s="542"/>
    </row>
    <row r="39" spans="1:6" s="99" customFormat="1" ht="12" customHeight="1" thickBot="1" x14ac:dyDescent="0.25">
      <c r="A39" s="446" t="s">
        <v>619</v>
      </c>
      <c r="B39" s="522" t="s">
        <v>262</v>
      </c>
      <c r="C39" s="300">
        <f>500000+2800000</f>
        <v>3300000</v>
      </c>
      <c r="E39" s="542"/>
    </row>
    <row r="40" spans="1:6" s="99" customFormat="1" ht="12" customHeight="1" thickBot="1" x14ac:dyDescent="0.25">
      <c r="A40" s="33" t="s">
        <v>19</v>
      </c>
      <c r="B40" s="21" t="s">
        <v>426</v>
      </c>
      <c r="C40" s="296">
        <f>SUM(C41:C51)</f>
        <v>20170860</v>
      </c>
      <c r="E40" s="542"/>
    </row>
    <row r="41" spans="1:6" s="99" customFormat="1" ht="12" customHeight="1" x14ac:dyDescent="0.2">
      <c r="A41" s="444" t="s">
        <v>85</v>
      </c>
      <c r="B41" s="425" t="s">
        <v>265</v>
      </c>
      <c r="C41" s="299">
        <v>1920362</v>
      </c>
    </row>
    <row r="42" spans="1:6" s="99" customFormat="1" ht="12" customHeight="1" x14ac:dyDescent="0.2">
      <c r="A42" s="445" t="s">
        <v>86</v>
      </c>
      <c r="B42" s="426" t="s">
        <v>266</v>
      </c>
      <c r="C42" s="298">
        <v>14100000</v>
      </c>
      <c r="E42" s="542"/>
    </row>
    <row r="43" spans="1:6" s="99" customFormat="1" ht="12" customHeight="1" x14ac:dyDescent="0.2">
      <c r="A43" s="445" t="s">
        <v>87</v>
      </c>
      <c r="B43" s="426" t="s">
        <v>267</v>
      </c>
      <c r="C43" s="298">
        <v>3200000</v>
      </c>
    </row>
    <row r="44" spans="1:6" s="99" customFormat="1" ht="12" customHeight="1" x14ac:dyDescent="0.2">
      <c r="A44" s="445" t="s">
        <v>164</v>
      </c>
      <c r="B44" s="426" t="s">
        <v>268</v>
      </c>
      <c r="C44" s="298"/>
    </row>
    <row r="45" spans="1:6" s="99" customFormat="1" ht="12" customHeight="1" x14ac:dyDescent="0.2">
      <c r="A45" s="445" t="s">
        <v>165</v>
      </c>
      <c r="B45" s="426" t="s">
        <v>269</v>
      </c>
      <c r="C45" s="298"/>
    </row>
    <row r="46" spans="1:6" s="99" customFormat="1" ht="12" customHeight="1" x14ac:dyDescent="0.2">
      <c r="A46" s="445" t="s">
        <v>166</v>
      </c>
      <c r="B46" s="426" t="s">
        <v>270</v>
      </c>
      <c r="C46" s="298">
        <v>950498</v>
      </c>
    </row>
    <row r="47" spans="1:6" s="99" customFormat="1" ht="12" customHeight="1" x14ac:dyDescent="0.2">
      <c r="A47" s="445" t="s">
        <v>167</v>
      </c>
      <c r="B47" s="426" t="s">
        <v>271</v>
      </c>
      <c r="C47" s="298"/>
    </row>
    <row r="48" spans="1:6" s="99" customFormat="1" ht="12" customHeight="1" x14ac:dyDescent="0.2">
      <c r="A48" s="445" t="s">
        <v>168</v>
      </c>
      <c r="B48" s="426" t="s">
        <v>546</v>
      </c>
      <c r="C48" s="298"/>
      <c r="F48" s="542"/>
    </row>
    <row r="49" spans="1:6" s="99" customFormat="1" ht="12" customHeight="1" x14ac:dyDescent="0.2">
      <c r="A49" s="445" t="s">
        <v>263</v>
      </c>
      <c r="B49" s="426" t="s">
        <v>273</v>
      </c>
      <c r="C49" s="301"/>
      <c r="F49" s="542"/>
    </row>
    <row r="50" spans="1:6" s="99" customFormat="1" ht="12" customHeight="1" x14ac:dyDescent="0.2">
      <c r="A50" s="446" t="s">
        <v>264</v>
      </c>
      <c r="B50" s="427" t="s">
        <v>428</v>
      </c>
      <c r="C50" s="411"/>
      <c r="F50" s="542"/>
    </row>
    <row r="51" spans="1:6" s="99" customFormat="1" ht="12" customHeight="1" thickBot="1" x14ac:dyDescent="0.25">
      <c r="A51" s="446" t="s">
        <v>427</v>
      </c>
      <c r="B51" s="427" t="s">
        <v>274</v>
      </c>
      <c r="C51" s="411"/>
      <c r="F51" s="542"/>
    </row>
    <row r="52" spans="1:6" s="99" customFormat="1" ht="12" customHeight="1" thickBot="1" x14ac:dyDescent="0.25">
      <c r="A52" s="33" t="s">
        <v>20</v>
      </c>
      <c r="B52" s="21" t="s">
        <v>275</v>
      </c>
      <c r="C52" s="296">
        <f>SUM(C53:C57)</f>
        <v>10200000</v>
      </c>
      <c r="F52" s="542"/>
    </row>
    <row r="53" spans="1:6" s="99" customFormat="1" ht="12" customHeight="1" x14ac:dyDescent="0.2">
      <c r="A53" s="444" t="s">
        <v>88</v>
      </c>
      <c r="B53" s="425" t="s">
        <v>279</v>
      </c>
      <c r="C53" s="470"/>
      <c r="F53" s="542"/>
    </row>
    <row r="54" spans="1:6" s="99" customFormat="1" ht="12" customHeight="1" x14ac:dyDescent="0.2">
      <c r="A54" s="445" t="s">
        <v>89</v>
      </c>
      <c r="B54" s="426" t="s">
        <v>280</v>
      </c>
      <c r="C54" s="301">
        <v>10200000</v>
      </c>
    </row>
    <row r="55" spans="1:6" s="99" customFormat="1" ht="12" customHeight="1" x14ac:dyDescent="0.2">
      <c r="A55" s="445" t="s">
        <v>276</v>
      </c>
      <c r="B55" s="426" t="s">
        <v>281</v>
      </c>
      <c r="C55" s="301"/>
    </row>
    <row r="56" spans="1:6" s="99" customFormat="1" ht="12" customHeight="1" x14ac:dyDescent="0.2">
      <c r="A56" s="445" t="s">
        <v>277</v>
      </c>
      <c r="B56" s="426" t="s">
        <v>282</v>
      </c>
      <c r="C56" s="301"/>
    </row>
    <row r="57" spans="1:6" s="99" customFormat="1" ht="12" customHeight="1" thickBot="1" x14ac:dyDescent="0.25">
      <c r="A57" s="446" t="s">
        <v>278</v>
      </c>
      <c r="B57" s="427" t="s">
        <v>283</v>
      </c>
      <c r="C57" s="411"/>
    </row>
    <row r="58" spans="1:6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6" s="99" customFormat="1" ht="12" customHeight="1" x14ac:dyDescent="0.2">
      <c r="A59" s="444" t="s">
        <v>90</v>
      </c>
      <c r="B59" s="425" t="s">
        <v>285</v>
      </c>
      <c r="C59" s="299"/>
    </row>
    <row r="60" spans="1:6" s="99" customFormat="1" ht="12" customHeight="1" x14ac:dyDescent="0.2">
      <c r="A60" s="445" t="s">
        <v>91</v>
      </c>
      <c r="B60" s="426" t="s">
        <v>418</v>
      </c>
      <c r="C60" s="298"/>
    </row>
    <row r="61" spans="1:6" s="99" customFormat="1" ht="12" customHeight="1" x14ac:dyDescent="0.2">
      <c r="A61" s="445" t="s">
        <v>288</v>
      </c>
      <c r="B61" s="426" t="s">
        <v>286</v>
      </c>
      <c r="C61" s="298"/>
    </row>
    <row r="62" spans="1:6" s="99" customFormat="1" ht="12" customHeight="1" thickBot="1" x14ac:dyDescent="0.25">
      <c r="A62" s="446" t="s">
        <v>289</v>
      </c>
      <c r="B62" s="427" t="s">
        <v>287</v>
      </c>
      <c r="C62" s="300"/>
    </row>
    <row r="63" spans="1:6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6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427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1198764030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428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569108932</v>
      </c>
    </row>
    <row r="79" spans="1:3" s="99" customFormat="1" ht="12" customHeight="1" x14ac:dyDescent="0.2">
      <c r="A79" s="444" t="s">
        <v>331</v>
      </c>
      <c r="B79" s="425" t="s">
        <v>309</v>
      </c>
      <c r="C79" s="301">
        <v>569108932</v>
      </c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569108932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1767872962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+C97+C98+C99+C101+C102+C115</f>
        <v>538148585</v>
      </c>
    </row>
    <row r="97" spans="1:5" ht="12" customHeight="1" x14ac:dyDescent="0.2">
      <c r="A97" s="452" t="s">
        <v>92</v>
      </c>
      <c r="B97" s="10" t="s">
        <v>46</v>
      </c>
      <c r="C97" s="297">
        <f>115900371+195000</f>
        <v>116095371</v>
      </c>
    </row>
    <row r="98" spans="1:5" ht="12" customHeight="1" x14ac:dyDescent="0.2">
      <c r="A98" s="445" t="s">
        <v>93</v>
      </c>
      <c r="B98" s="8" t="s">
        <v>172</v>
      </c>
      <c r="C98" s="298">
        <f>12661685+34125</f>
        <v>12695810</v>
      </c>
    </row>
    <row r="99" spans="1:5" ht="12" customHeight="1" x14ac:dyDescent="0.2">
      <c r="A99" s="445" t="s">
        <v>94</v>
      </c>
      <c r="B99" s="8" t="s">
        <v>134</v>
      </c>
      <c r="C99" s="300">
        <f>190267327+153890077</f>
        <v>344157404</v>
      </c>
    </row>
    <row r="100" spans="1:5" ht="12" customHeight="1" x14ac:dyDescent="0.2">
      <c r="A100" s="445"/>
      <c r="B100" s="568" t="s">
        <v>607</v>
      </c>
      <c r="C100" s="300">
        <v>2200000</v>
      </c>
    </row>
    <row r="101" spans="1:5" ht="12" customHeight="1" x14ac:dyDescent="0.2">
      <c r="A101" s="445" t="s">
        <v>95</v>
      </c>
      <c r="B101" s="11" t="s">
        <v>173</v>
      </c>
      <c r="C101" s="300">
        <v>28450000</v>
      </c>
    </row>
    <row r="102" spans="1:5" ht="12" customHeight="1" x14ac:dyDescent="0.2">
      <c r="A102" s="445" t="s">
        <v>106</v>
      </c>
      <c r="B102" s="19" t="s">
        <v>174</v>
      </c>
      <c r="C102" s="300">
        <f>+C109+C114</f>
        <v>36750000</v>
      </c>
    </row>
    <row r="103" spans="1:5" ht="12" customHeight="1" x14ac:dyDescent="0.2">
      <c r="A103" s="445" t="s">
        <v>96</v>
      </c>
      <c r="B103" s="8" t="s">
        <v>498</v>
      </c>
      <c r="C103" s="300"/>
    </row>
    <row r="104" spans="1:5" ht="12" customHeight="1" x14ac:dyDescent="0.2">
      <c r="A104" s="445" t="s">
        <v>97</v>
      </c>
      <c r="B104" s="149" t="s">
        <v>433</v>
      </c>
      <c r="C104" s="300"/>
    </row>
    <row r="105" spans="1:5" ht="12" customHeight="1" x14ac:dyDescent="0.2">
      <c r="A105" s="445" t="s">
        <v>107</v>
      </c>
      <c r="B105" s="149" t="s">
        <v>432</v>
      </c>
      <c r="C105" s="300"/>
    </row>
    <row r="106" spans="1:5" ht="12" customHeight="1" x14ac:dyDescent="0.2">
      <c r="A106" s="445" t="s">
        <v>108</v>
      </c>
      <c r="B106" s="149" t="s">
        <v>342</v>
      </c>
      <c r="C106" s="300"/>
      <c r="E106" s="546"/>
    </row>
    <row r="107" spans="1:5" ht="12" customHeight="1" x14ac:dyDescent="0.2">
      <c r="A107" s="445" t="s">
        <v>109</v>
      </c>
      <c r="B107" s="150" t="s">
        <v>343</v>
      </c>
      <c r="C107" s="300"/>
      <c r="D107" s="3" t="s">
        <v>573</v>
      </c>
      <c r="E107" s="546"/>
    </row>
    <row r="108" spans="1:5" ht="12" customHeight="1" x14ac:dyDescent="0.2">
      <c r="A108" s="445" t="s">
        <v>110</v>
      </c>
      <c r="B108" s="150" t="s">
        <v>344</v>
      </c>
      <c r="C108" s="300"/>
      <c r="D108" s="3" t="s">
        <v>572</v>
      </c>
      <c r="E108" s="546"/>
    </row>
    <row r="109" spans="1:5" ht="12" customHeight="1" x14ac:dyDescent="0.2">
      <c r="A109" s="445" t="s">
        <v>112</v>
      </c>
      <c r="B109" s="149" t="s">
        <v>345</v>
      </c>
      <c r="C109" s="300">
        <v>1000000</v>
      </c>
      <c r="D109" s="3" t="s">
        <v>568</v>
      </c>
      <c r="E109" s="546">
        <v>1000000</v>
      </c>
    </row>
    <row r="110" spans="1:5" ht="12" customHeight="1" x14ac:dyDescent="0.2">
      <c r="A110" s="445" t="s">
        <v>175</v>
      </c>
      <c r="B110" s="149" t="s">
        <v>346</v>
      </c>
      <c r="C110" s="300"/>
      <c r="E110" s="546"/>
    </row>
    <row r="111" spans="1:5" ht="12" customHeight="1" x14ac:dyDescent="0.2">
      <c r="A111" s="445" t="s">
        <v>340</v>
      </c>
      <c r="B111" s="150" t="s">
        <v>347</v>
      </c>
      <c r="C111" s="300"/>
      <c r="E111" s="546"/>
    </row>
    <row r="112" spans="1:5" ht="12" customHeight="1" x14ac:dyDescent="0.2">
      <c r="A112" s="453" t="s">
        <v>341</v>
      </c>
      <c r="B112" s="151" t="s">
        <v>348</v>
      </c>
      <c r="C112" s="300"/>
      <c r="E112" s="546">
        <v>15000000</v>
      </c>
    </row>
    <row r="113" spans="1:5" ht="12" customHeight="1" x14ac:dyDescent="0.2">
      <c r="A113" s="445" t="s">
        <v>430</v>
      </c>
      <c r="B113" s="151" t="s">
        <v>349</v>
      </c>
      <c r="C113" s="300"/>
      <c r="E113" s="546">
        <v>1200000</v>
      </c>
    </row>
    <row r="114" spans="1:5" ht="12" customHeight="1" x14ac:dyDescent="0.2">
      <c r="A114" s="445" t="s">
        <v>431</v>
      </c>
      <c r="B114" s="150" t="s">
        <v>350</v>
      </c>
      <c r="C114" s="298">
        <v>35750000</v>
      </c>
      <c r="D114" s="3" t="s">
        <v>569</v>
      </c>
      <c r="E114" s="546">
        <v>3000000</v>
      </c>
    </row>
    <row r="115" spans="1:5" ht="12" customHeight="1" x14ac:dyDescent="0.2">
      <c r="A115" s="445" t="s">
        <v>435</v>
      </c>
      <c r="B115" s="11" t="s">
        <v>47</v>
      </c>
      <c r="C115" s="298">
        <f>+C116+C117</f>
        <v>0</v>
      </c>
      <c r="D115" s="3" t="s">
        <v>570</v>
      </c>
      <c r="E115" s="546">
        <v>300000</v>
      </c>
    </row>
    <row r="116" spans="1:5" ht="12" customHeight="1" x14ac:dyDescent="0.2">
      <c r="A116" s="446" t="s">
        <v>436</v>
      </c>
      <c r="B116" s="8" t="s">
        <v>499</v>
      </c>
      <c r="C116" s="300"/>
      <c r="D116" s="3" t="s">
        <v>571</v>
      </c>
      <c r="E116" s="546">
        <v>200000</v>
      </c>
    </row>
    <row r="117" spans="1:5" ht="12" customHeight="1" thickBot="1" x14ac:dyDescent="0.25">
      <c r="A117" s="454" t="s">
        <v>437</v>
      </c>
      <c r="B117" s="152" t="s">
        <v>500</v>
      </c>
      <c r="C117" s="304"/>
      <c r="D117" s="3" t="s">
        <v>627</v>
      </c>
      <c r="E117" s="546">
        <v>250000</v>
      </c>
    </row>
    <row r="118" spans="1:5" ht="12" customHeight="1" thickBot="1" x14ac:dyDescent="0.25">
      <c r="A118" s="33" t="s">
        <v>16</v>
      </c>
      <c r="B118" s="27" t="s">
        <v>351</v>
      </c>
      <c r="C118" s="296">
        <f>+C119+C121+C123</f>
        <v>681792969</v>
      </c>
      <c r="D118" s="3" t="s">
        <v>604</v>
      </c>
      <c r="E118" s="546">
        <v>16050000</v>
      </c>
    </row>
    <row r="119" spans="1:5" ht="12" customHeight="1" x14ac:dyDescent="0.2">
      <c r="A119" s="444" t="s">
        <v>98</v>
      </c>
      <c r="B119" s="8" t="s">
        <v>214</v>
      </c>
      <c r="C119" s="299">
        <f>656972219-1500000</f>
        <v>655472219</v>
      </c>
      <c r="D119" s="3" t="s">
        <v>628</v>
      </c>
      <c r="E119" s="546">
        <v>50000</v>
      </c>
    </row>
    <row r="120" spans="1:5" ht="12" customHeight="1" x14ac:dyDescent="0.2">
      <c r="A120" s="444" t="s">
        <v>99</v>
      </c>
      <c r="B120" s="12" t="s">
        <v>355</v>
      </c>
      <c r="C120" s="299"/>
      <c r="D120" s="3" t="s">
        <v>629</v>
      </c>
      <c r="E120" s="546">
        <v>100000</v>
      </c>
    </row>
    <row r="121" spans="1:5" ht="12" customHeight="1" x14ac:dyDescent="0.2">
      <c r="A121" s="444" t="s">
        <v>100</v>
      </c>
      <c r="B121" s="12" t="s">
        <v>176</v>
      </c>
      <c r="C121" s="298">
        <v>26320750</v>
      </c>
      <c r="D121" s="3" t="s">
        <v>630</v>
      </c>
      <c r="E121" s="546">
        <v>100000</v>
      </c>
    </row>
    <row r="122" spans="1:5" ht="12" customHeight="1" x14ac:dyDescent="0.2">
      <c r="A122" s="444" t="s">
        <v>101</v>
      </c>
      <c r="B122" s="12" t="s">
        <v>356</v>
      </c>
      <c r="C122" s="279"/>
      <c r="E122" s="580">
        <f>SUM(E112:E121)</f>
        <v>36250000</v>
      </c>
    </row>
    <row r="123" spans="1:5" ht="12" customHeight="1" x14ac:dyDescent="0.2">
      <c r="A123" s="444" t="s">
        <v>102</v>
      </c>
      <c r="B123" s="293" t="s">
        <v>217</v>
      </c>
      <c r="C123" s="279"/>
    </row>
    <row r="124" spans="1:5" ht="12" customHeight="1" x14ac:dyDescent="0.2">
      <c r="A124" s="444" t="s">
        <v>111</v>
      </c>
      <c r="B124" s="292" t="s">
        <v>420</v>
      </c>
      <c r="C124" s="279"/>
    </row>
    <row r="125" spans="1:5" ht="12" customHeight="1" x14ac:dyDescent="0.2">
      <c r="A125" s="444" t="s">
        <v>113</v>
      </c>
      <c r="B125" s="421" t="s">
        <v>361</v>
      </c>
      <c r="C125" s="279"/>
    </row>
    <row r="126" spans="1:5" ht="12" customHeight="1" x14ac:dyDescent="0.2">
      <c r="A126" s="444" t="s">
        <v>177</v>
      </c>
      <c r="B126" s="150" t="s">
        <v>344</v>
      </c>
      <c r="C126" s="279"/>
    </row>
    <row r="127" spans="1:5" ht="12" customHeight="1" x14ac:dyDescent="0.2">
      <c r="A127" s="444" t="s">
        <v>178</v>
      </c>
      <c r="B127" s="150" t="s">
        <v>360</v>
      </c>
      <c r="C127" s="279"/>
    </row>
    <row r="128" spans="1:5" ht="12" customHeight="1" x14ac:dyDescent="0.2">
      <c r="A128" s="444" t="s">
        <v>179</v>
      </c>
      <c r="B128" s="150" t="s">
        <v>359</v>
      </c>
      <c r="C128" s="279"/>
    </row>
    <row r="129" spans="1:11" ht="12" customHeight="1" x14ac:dyDescent="0.2">
      <c r="A129" s="444" t="s">
        <v>352</v>
      </c>
      <c r="B129" s="150" t="s">
        <v>347</v>
      </c>
      <c r="C129" s="279"/>
    </row>
    <row r="130" spans="1:11" ht="12" customHeight="1" x14ac:dyDescent="0.2">
      <c r="A130" s="444" t="s">
        <v>353</v>
      </c>
      <c r="B130" s="150" t="s">
        <v>358</v>
      </c>
      <c r="C130" s="279"/>
    </row>
    <row r="131" spans="1:11" ht="12" customHeight="1" thickBot="1" x14ac:dyDescent="0.25">
      <c r="A131" s="453" t="s">
        <v>354</v>
      </c>
      <c r="B131" s="150" t="s">
        <v>357</v>
      </c>
      <c r="C131" s="281">
        <v>0</v>
      </c>
    </row>
    <row r="132" spans="1:11" ht="12" customHeight="1" thickBot="1" x14ac:dyDescent="0.25">
      <c r="A132" s="33" t="s">
        <v>17</v>
      </c>
      <c r="B132" s="132" t="s">
        <v>440</v>
      </c>
      <c r="C132" s="296">
        <f>+C96+C118</f>
        <v>1219941554</v>
      </c>
    </row>
    <row r="133" spans="1:11" ht="12" customHeight="1" thickBot="1" x14ac:dyDescent="0.25">
      <c r="A133" s="33" t="s">
        <v>18</v>
      </c>
      <c r="B133" s="132" t="s">
        <v>441</v>
      </c>
      <c r="C133" s="296">
        <f>+C134+C135+C136</f>
        <v>11440000</v>
      </c>
    </row>
    <row r="134" spans="1:11" s="100" customFormat="1" ht="12" customHeight="1" x14ac:dyDescent="0.2">
      <c r="A134" s="444" t="s">
        <v>256</v>
      </c>
      <c r="B134" s="9" t="s">
        <v>504</v>
      </c>
      <c r="C134" s="279">
        <v>11440000</v>
      </c>
    </row>
    <row r="135" spans="1:11" ht="12" customHeight="1" x14ac:dyDescent="0.2">
      <c r="A135" s="444" t="s">
        <v>257</v>
      </c>
      <c r="B135" s="9" t="s">
        <v>449</v>
      </c>
      <c r="C135" s="279"/>
    </row>
    <row r="136" spans="1:11" ht="12" customHeight="1" thickBot="1" x14ac:dyDescent="0.25">
      <c r="A136" s="453" t="s">
        <v>258</v>
      </c>
      <c r="B136" s="7" t="s">
        <v>503</v>
      </c>
      <c r="C136" s="279"/>
    </row>
    <row r="137" spans="1:11" ht="12" customHeight="1" thickBot="1" x14ac:dyDescent="0.25">
      <c r="A137" s="33" t="s">
        <v>19</v>
      </c>
      <c r="B137" s="132" t="s">
        <v>442</v>
      </c>
      <c r="C137" s="296">
        <f>+C138+C139+C140+C141+C142+C143</f>
        <v>0</v>
      </c>
    </row>
    <row r="138" spans="1:11" ht="12" customHeight="1" x14ac:dyDescent="0.2">
      <c r="A138" s="444" t="s">
        <v>85</v>
      </c>
      <c r="B138" s="9" t="s">
        <v>451</v>
      </c>
      <c r="C138" s="279"/>
    </row>
    <row r="139" spans="1:11" ht="12" customHeight="1" x14ac:dyDescent="0.2">
      <c r="A139" s="444" t="s">
        <v>86</v>
      </c>
      <c r="B139" s="9" t="s">
        <v>443</v>
      </c>
      <c r="C139" s="279"/>
    </row>
    <row r="140" spans="1:11" ht="12" customHeight="1" x14ac:dyDescent="0.2">
      <c r="A140" s="444" t="s">
        <v>87</v>
      </c>
      <c r="B140" s="9" t="s">
        <v>444</v>
      </c>
      <c r="C140" s="279"/>
    </row>
    <row r="141" spans="1:11" ht="12" customHeight="1" x14ac:dyDescent="0.2">
      <c r="A141" s="444" t="s">
        <v>164</v>
      </c>
      <c r="B141" s="9" t="s">
        <v>502</v>
      </c>
      <c r="C141" s="279"/>
    </row>
    <row r="142" spans="1:11" ht="12" customHeight="1" x14ac:dyDescent="0.2">
      <c r="A142" s="444" t="s">
        <v>165</v>
      </c>
      <c r="B142" s="9" t="s">
        <v>446</v>
      </c>
      <c r="C142" s="279"/>
    </row>
    <row r="143" spans="1:11" s="100" customFormat="1" ht="12" customHeight="1" thickBot="1" x14ac:dyDescent="0.25">
      <c r="A143" s="453" t="s">
        <v>166</v>
      </c>
      <c r="B143" s="7" t="s">
        <v>447</v>
      </c>
      <c r="C143" s="279"/>
    </row>
    <row r="144" spans="1:11" ht="12" customHeight="1" thickBot="1" x14ac:dyDescent="0.25">
      <c r="A144" s="33" t="s">
        <v>20</v>
      </c>
      <c r="B144" s="132" t="s">
        <v>529</v>
      </c>
      <c r="C144" s="302">
        <f>+C145+C146+C148+C149+C147</f>
        <v>536491408</v>
      </c>
      <c r="K144" s="261"/>
    </row>
    <row r="145" spans="1:6" x14ac:dyDescent="0.2">
      <c r="A145" s="444" t="s">
        <v>88</v>
      </c>
      <c r="B145" s="9" t="s">
        <v>362</v>
      </c>
      <c r="C145" s="279"/>
    </row>
    <row r="146" spans="1:6" ht="12" customHeight="1" x14ac:dyDescent="0.2">
      <c r="A146" s="444" t="s">
        <v>89</v>
      </c>
      <c r="B146" s="9" t="s">
        <v>363</v>
      </c>
      <c r="C146" s="279">
        <v>19566899</v>
      </c>
    </row>
    <row r="147" spans="1:6" s="100" customFormat="1" ht="12" customHeight="1" x14ac:dyDescent="0.2">
      <c r="A147" s="444" t="s">
        <v>276</v>
      </c>
      <c r="B147" s="9" t="s">
        <v>528</v>
      </c>
      <c r="C147" s="279">
        <f>'9.2. sz. mell HIV'!C41+'9.3. sz. mell GAM'!C40+'9.4. sz. mell ILMKS'!C40+'9.5. sz. mell OVI'!C40+'9.6. sz. mell CSSK'!C40</f>
        <v>516431134</v>
      </c>
    </row>
    <row r="148" spans="1:6" s="100" customFormat="1" ht="12" customHeight="1" x14ac:dyDescent="0.2">
      <c r="A148" s="444" t="s">
        <v>277</v>
      </c>
      <c r="B148" s="9" t="s">
        <v>456</v>
      </c>
      <c r="C148" s="279"/>
    </row>
    <row r="149" spans="1:6" s="100" customFormat="1" ht="12" customHeight="1" thickBot="1" x14ac:dyDescent="0.25">
      <c r="A149" s="453" t="s">
        <v>278</v>
      </c>
      <c r="B149" s="7" t="s">
        <v>382</v>
      </c>
      <c r="C149" s="279">
        <v>493375</v>
      </c>
    </row>
    <row r="150" spans="1:6" s="100" customFormat="1" ht="12" customHeight="1" thickBot="1" x14ac:dyDescent="0.25">
      <c r="A150" s="33" t="s">
        <v>21</v>
      </c>
      <c r="B150" s="132" t="s">
        <v>457</v>
      </c>
      <c r="C150" s="305">
        <f>+C151+C152+C153+C154+C155</f>
        <v>0</v>
      </c>
    </row>
    <row r="151" spans="1:6" s="100" customFormat="1" ht="12" customHeight="1" x14ac:dyDescent="0.2">
      <c r="A151" s="444" t="s">
        <v>90</v>
      </c>
      <c r="B151" s="9" t="s">
        <v>452</v>
      </c>
      <c r="C151" s="279"/>
    </row>
    <row r="152" spans="1:6" s="100" customFormat="1" ht="12" customHeight="1" x14ac:dyDescent="0.2">
      <c r="A152" s="444" t="s">
        <v>91</v>
      </c>
      <c r="B152" s="9" t="s">
        <v>459</v>
      </c>
      <c r="C152" s="279"/>
    </row>
    <row r="153" spans="1:6" s="100" customFormat="1" ht="12" customHeight="1" x14ac:dyDescent="0.2">
      <c r="A153" s="444" t="s">
        <v>288</v>
      </c>
      <c r="B153" s="9" t="s">
        <v>454</v>
      </c>
      <c r="C153" s="279"/>
    </row>
    <row r="154" spans="1:6" ht="12.75" customHeight="1" x14ac:dyDescent="0.2">
      <c r="A154" s="444" t="s">
        <v>289</v>
      </c>
      <c r="B154" s="9" t="s">
        <v>505</v>
      </c>
      <c r="C154" s="279"/>
    </row>
    <row r="155" spans="1:6" ht="12.75" customHeight="1" thickBot="1" x14ac:dyDescent="0.25">
      <c r="A155" s="453" t="s">
        <v>458</v>
      </c>
      <c r="B155" s="7" t="s">
        <v>461</v>
      </c>
      <c r="C155" s="281"/>
    </row>
    <row r="156" spans="1:6" ht="12.75" customHeight="1" thickBot="1" x14ac:dyDescent="0.25">
      <c r="A156" s="497" t="s">
        <v>22</v>
      </c>
      <c r="B156" s="132" t="s">
        <v>462</v>
      </c>
      <c r="C156" s="305"/>
    </row>
    <row r="157" spans="1:6" ht="12" customHeight="1" thickBot="1" x14ac:dyDescent="0.25">
      <c r="A157" s="497" t="s">
        <v>23</v>
      </c>
      <c r="B157" s="132" t="s">
        <v>463</v>
      </c>
      <c r="C157" s="305"/>
    </row>
    <row r="158" spans="1:6" ht="15" customHeight="1" thickBot="1" x14ac:dyDescent="0.25">
      <c r="A158" s="33" t="s">
        <v>24</v>
      </c>
      <c r="B158" s="132" t="s">
        <v>465</v>
      </c>
      <c r="C158" s="435">
        <f>+C133+C137+C144+C150+C156+C157</f>
        <v>547931408</v>
      </c>
    </row>
    <row r="159" spans="1:6" ht="13.5" thickBot="1" x14ac:dyDescent="0.25">
      <c r="A159" s="455" t="s">
        <v>25</v>
      </c>
      <c r="B159" s="387" t="s">
        <v>464</v>
      </c>
      <c r="C159" s="435">
        <f>+C132+C158</f>
        <v>1767872962</v>
      </c>
      <c r="F159" s="44">
        <f>C159-C93</f>
        <v>0</v>
      </c>
    </row>
    <row r="160" spans="1:6" ht="15" customHeight="1" thickBot="1" x14ac:dyDescent="0.25">
      <c r="A160" s="395"/>
      <c r="B160" s="396"/>
      <c r="C160" s="397"/>
    </row>
    <row r="161" spans="1:3" ht="14.25" customHeight="1" thickBot="1" x14ac:dyDescent="0.25">
      <c r="A161" s="258" t="s">
        <v>506</v>
      </c>
      <c r="B161" s="259"/>
      <c r="C161" s="129"/>
    </row>
    <row r="162" spans="1:3" ht="13.5" thickBot="1" x14ac:dyDescent="0.25">
      <c r="A162" s="258" t="s">
        <v>195</v>
      </c>
      <c r="B162" s="259"/>
      <c r="C162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topLeftCell="A4" zoomScale="130" zoomScaleNormal="130" zoomScaleSheetLayoutView="85" workbookViewId="0">
      <selection activeCell="A10" sqref="A10:B1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.../2020. (…...) önkormányzati rendelethez</v>
      </c>
    </row>
    <row r="2" spans="1:3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+C9+C10+C13+C14+C15+C16</f>
        <v>1616350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710</v>
      </c>
      <c r="C10" s="298"/>
    </row>
    <row r="11" spans="1:3" s="99" customFormat="1" ht="12" customHeight="1" x14ac:dyDescent="0.2">
      <c r="A11" s="445" t="s">
        <v>712</v>
      </c>
      <c r="B11" s="426" t="s">
        <v>708</v>
      </c>
      <c r="C11" s="298"/>
    </row>
    <row r="12" spans="1:3" s="99" customFormat="1" ht="12" customHeight="1" x14ac:dyDescent="0.2">
      <c r="A12" s="445" t="s">
        <v>713</v>
      </c>
      <c r="B12" s="426" t="s">
        <v>709</v>
      </c>
      <c r="C12" s="298"/>
    </row>
    <row r="13" spans="1:3" s="99" customFormat="1" ht="22.5" customHeight="1" x14ac:dyDescent="0.2">
      <c r="A13" s="445" t="s">
        <v>94</v>
      </c>
      <c r="B13" s="426" t="s">
        <v>714</v>
      </c>
      <c r="C13" s="298"/>
    </row>
    <row r="14" spans="1:3" s="99" customFormat="1" ht="12" customHeight="1" x14ac:dyDescent="0.2">
      <c r="A14" s="445" t="s">
        <v>95</v>
      </c>
      <c r="B14" s="426" t="s">
        <v>711</v>
      </c>
      <c r="C14" s="298"/>
    </row>
    <row r="15" spans="1:3" s="99" customFormat="1" ht="12" customHeight="1" x14ac:dyDescent="0.2">
      <c r="A15" s="445" t="s">
        <v>141</v>
      </c>
      <c r="B15" s="426" t="s">
        <v>493</v>
      </c>
      <c r="C15" s="298">
        <v>1616350</v>
      </c>
    </row>
    <row r="16" spans="1:3" s="98" customFormat="1" ht="12" customHeight="1" thickBot="1" x14ac:dyDescent="0.25">
      <c r="A16" s="446" t="s">
        <v>96</v>
      </c>
      <c r="B16" s="427" t="s">
        <v>425</v>
      </c>
      <c r="C16" s="298"/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7411160</v>
      </c>
    </row>
    <row r="18" spans="1:3" s="98" customFormat="1" ht="12" customHeight="1" x14ac:dyDescent="0.2">
      <c r="A18" s="444" t="s">
        <v>98</v>
      </c>
      <c r="B18" s="425" t="s">
        <v>246</v>
      </c>
      <c r="C18" s="299"/>
    </row>
    <row r="19" spans="1:3" s="98" customFormat="1" ht="12" customHeight="1" x14ac:dyDescent="0.2">
      <c r="A19" s="445" t="s">
        <v>99</v>
      </c>
      <c r="B19" s="426" t="s">
        <v>247</v>
      </c>
      <c r="C19" s="298"/>
    </row>
    <row r="20" spans="1:3" s="98" customFormat="1" ht="12" customHeight="1" x14ac:dyDescent="0.2">
      <c r="A20" s="445" t="s">
        <v>100</v>
      </c>
      <c r="B20" s="426" t="s">
        <v>414</v>
      </c>
      <c r="C20" s="298"/>
    </row>
    <row r="21" spans="1:3" s="98" customFormat="1" ht="12" customHeight="1" x14ac:dyDescent="0.2">
      <c r="A21" s="445" t="s">
        <v>101</v>
      </c>
      <c r="B21" s="426" t="s">
        <v>415</v>
      </c>
      <c r="C21" s="298"/>
    </row>
    <row r="22" spans="1:3" s="98" customFormat="1" ht="12" customHeight="1" x14ac:dyDescent="0.2">
      <c r="A22" s="445" t="s">
        <v>102</v>
      </c>
      <c r="B22" s="426" t="s">
        <v>248</v>
      </c>
      <c r="C22" s="298">
        <v>7411160</v>
      </c>
    </row>
    <row r="23" spans="1:3" s="99" customFormat="1" ht="12" customHeight="1" thickBot="1" x14ac:dyDescent="0.25">
      <c r="A23" s="446" t="s">
        <v>111</v>
      </c>
      <c r="B23" s="427" t="s">
        <v>249</v>
      </c>
      <c r="C23" s="300"/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0</v>
      </c>
    </row>
    <row r="25" spans="1:3" s="99" customFormat="1" ht="12" customHeight="1" x14ac:dyDescent="0.2">
      <c r="A25" s="444" t="s">
        <v>81</v>
      </c>
      <c r="B25" s="425" t="s">
        <v>251</v>
      </c>
      <c r="C25" s="299"/>
    </row>
    <row r="26" spans="1:3" s="98" customFormat="1" ht="12" customHeight="1" x14ac:dyDescent="0.2">
      <c r="A26" s="445" t="s">
        <v>82</v>
      </c>
      <c r="B26" s="426" t="s">
        <v>252</v>
      </c>
      <c r="C26" s="298"/>
    </row>
    <row r="27" spans="1:3" s="99" customFormat="1" ht="12" customHeight="1" x14ac:dyDescent="0.2">
      <c r="A27" s="445" t="s">
        <v>83</v>
      </c>
      <c r="B27" s="426" t="s">
        <v>416</v>
      </c>
      <c r="C27" s="298"/>
    </row>
    <row r="28" spans="1:3" s="99" customFormat="1" ht="12" customHeight="1" x14ac:dyDescent="0.2">
      <c r="A28" s="445" t="s">
        <v>84</v>
      </c>
      <c r="B28" s="426" t="s">
        <v>417</v>
      </c>
      <c r="C28" s="298"/>
    </row>
    <row r="29" spans="1:3" s="99" customFormat="1" ht="12" customHeight="1" x14ac:dyDescent="0.2">
      <c r="A29" s="445" t="s">
        <v>160</v>
      </c>
      <c r="B29" s="426" t="s">
        <v>253</v>
      </c>
      <c r="C29" s="298"/>
    </row>
    <row r="30" spans="1:3" s="99" customFormat="1" ht="12" customHeight="1" thickBot="1" x14ac:dyDescent="0.25">
      <c r="A30" s="446" t="s">
        <v>161</v>
      </c>
      <c r="B30" s="427" t="s">
        <v>254</v>
      </c>
      <c r="C30" s="300"/>
    </row>
    <row r="31" spans="1:3" s="99" customFormat="1" ht="12" customHeight="1" thickBot="1" x14ac:dyDescent="0.25">
      <c r="A31" s="33" t="s">
        <v>162</v>
      </c>
      <c r="B31" s="21" t="s">
        <v>255</v>
      </c>
      <c r="C31" s="302">
        <f>SUM(C32:C39)</f>
        <v>1760872</v>
      </c>
    </row>
    <row r="32" spans="1:3" s="99" customFormat="1" ht="12" customHeight="1" x14ac:dyDescent="0.2">
      <c r="A32" s="444" t="s">
        <v>256</v>
      </c>
      <c r="B32" s="425" t="s">
        <v>542</v>
      </c>
      <c r="C32" s="299"/>
    </row>
    <row r="33" spans="1:3" s="99" customFormat="1" ht="12" customHeight="1" x14ac:dyDescent="0.2">
      <c r="A33" s="445" t="s">
        <v>257</v>
      </c>
      <c r="B33" s="426" t="s">
        <v>543</v>
      </c>
      <c r="C33" s="298"/>
    </row>
    <row r="34" spans="1:3" s="99" customFormat="1" ht="12" customHeight="1" x14ac:dyDescent="0.2">
      <c r="A34" s="445" t="s">
        <v>258</v>
      </c>
      <c r="B34" s="426" t="s">
        <v>620</v>
      </c>
      <c r="C34" s="298"/>
    </row>
    <row r="35" spans="1:3" s="99" customFormat="1" ht="12" customHeight="1" x14ac:dyDescent="0.2">
      <c r="A35" s="445" t="s">
        <v>259</v>
      </c>
      <c r="B35" s="426" t="s">
        <v>544</v>
      </c>
      <c r="C35" s="298">
        <v>1760872</v>
      </c>
    </row>
    <row r="36" spans="1:3" s="99" customFormat="1" ht="12" customHeight="1" x14ac:dyDescent="0.2">
      <c r="A36" s="445" t="s">
        <v>539</v>
      </c>
      <c r="B36" s="426" t="s">
        <v>545</v>
      </c>
      <c r="C36" s="298"/>
    </row>
    <row r="37" spans="1:3" s="99" customFormat="1" ht="12" customHeight="1" x14ac:dyDescent="0.2">
      <c r="A37" s="445" t="s">
        <v>540</v>
      </c>
      <c r="B37" s="426" t="s">
        <v>260</v>
      </c>
      <c r="C37" s="298"/>
    </row>
    <row r="38" spans="1:3" s="99" customFormat="1" ht="12" customHeight="1" x14ac:dyDescent="0.2">
      <c r="A38" s="446" t="s">
        <v>541</v>
      </c>
      <c r="B38" s="426" t="s">
        <v>261</v>
      </c>
      <c r="C38" s="298"/>
    </row>
    <row r="39" spans="1:3" s="99" customFormat="1" ht="12" customHeight="1" thickBot="1" x14ac:dyDescent="0.25">
      <c r="A39" s="446" t="s">
        <v>619</v>
      </c>
      <c r="B39" s="427" t="s">
        <v>262</v>
      </c>
      <c r="C39" s="300"/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0</v>
      </c>
    </row>
    <row r="41" spans="1:3" s="99" customFormat="1" ht="12" customHeight="1" x14ac:dyDescent="0.2">
      <c r="A41" s="444" t="s">
        <v>85</v>
      </c>
      <c r="B41" s="425" t="s">
        <v>265</v>
      </c>
      <c r="C41" s="299"/>
    </row>
    <row r="42" spans="1:3" s="99" customFormat="1" ht="12" customHeight="1" x14ac:dyDescent="0.2">
      <c r="A42" s="445" t="s">
        <v>86</v>
      </c>
      <c r="B42" s="426" t="s">
        <v>266</v>
      </c>
      <c r="C42" s="298"/>
    </row>
    <row r="43" spans="1:3" s="99" customFormat="1" ht="12" customHeight="1" x14ac:dyDescent="0.2">
      <c r="A43" s="445" t="s">
        <v>87</v>
      </c>
      <c r="B43" s="426" t="s">
        <v>267</v>
      </c>
      <c r="C43" s="298"/>
    </row>
    <row r="44" spans="1:3" s="99" customFormat="1" ht="12" customHeight="1" x14ac:dyDescent="0.2">
      <c r="A44" s="445" t="s">
        <v>164</v>
      </c>
      <c r="B44" s="426" t="s">
        <v>268</v>
      </c>
      <c r="C44" s="298"/>
    </row>
    <row r="45" spans="1:3" s="99" customFormat="1" ht="12" customHeight="1" x14ac:dyDescent="0.2">
      <c r="A45" s="445" t="s">
        <v>165</v>
      </c>
      <c r="B45" s="426" t="s">
        <v>269</v>
      </c>
      <c r="C45" s="298"/>
    </row>
    <row r="46" spans="1:3" s="99" customFormat="1" ht="12" customHeight="1" x14ac:dyDescent="0.2">
      <c r="A46" s="445" t="s">
        <v>166</v>
      </c>
      <c r="B46" s="426" t="s">
        <v>270</v>
      </c>
      <c r="C46" s="298"/>
    </row>
    <row r="47" spans="1:3" s="99" customFormat="1" ht="12" customHeight="1" x14ac:dyDescent="0.2">
      <c r="A47" s="445" t="s">
        <v>167</v>
      </c>
      <c r="B47" s="426" t="s">
        <v>271</v>
      </c>
      <c r="C47" s="298"/>
    </row>
    <row r="48" spans="1:3" s="99" customFormat="1" ht="12" customHeight="1" x14ac:dyDescent="0.2">
      <c r="A48" s="445" t="s">
        <v>168</v>
      </c>
      <c r="B48" s="426" t="s">
        <v>548</v>
      </c>
      <c r="C48" s="298"/>
    </row>
    <row r="49" spans="1:3" s="99" customFormat="1" ht="12" customHeight="1" x14ac:dyDescent="0.2">
      <c r="A49" s="445" t="s">
        <v>263</v>
      </c>
      <c r="B49" s="426" t="s">
        <v>273</v>
      </c>
      <c r="C49" s="301"/>
    </row>
    <row r="50" spans="1:3" s="99" customFormat="1" ht="12" customHeight="1" x14ac:dyDescent="0.2">
      <c r="A50" s="446" t="s">
        <v>264</v>
      </c>
      <c r="B50" s="427" t="s">
        <v>428</v>
      </c>
      <c r="C50" s="411"/>
    </row>
    <row r="51" spans="1:3" s="99" customFormat="1" ht="12" customHeight="1" thickBot="1" x14ac:dyDescent="0.25">
      <c r="A51" s="446" t="s">
        <v>427</v>
      </c>
      <c r="B51" s="427" t="s">
        <v>274</v>
      </c>
      <c r="C51" s="411"/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0</v>
      </c>
    </row>
    <row r="53" spans="1:3" s="99" customFormat="1" ht="12" customHeight="1" x14ac:dyDescent="0.2">
      <c r="A53" s="444" t="s">
        <v>88</v>
      </c>
      <c r="B53" s="425" t="s">
        <v>279</v>
      </c>
      <c r="C53" s="470"/>
    </row>
    <row r="54" spans="1:3" s="99" customFormat="1" ht="12" customHeight="1" x14ac:dyDescent="0.2">
      <c r="A54" s="445" t="s">
        <v>89</v>
      </c>
      <c r="B54" s="426" t="s">
        <v>280</v>
      </c>
      <c r="C54" s="301"/>
    </row>
    <row r="55" spans="1:3" s="99" customFormat="1" ht="12" customHeight="1" x14ac:dyDescent="0.2">
      <c r="A55" s="445" t="s">
        <v>276</v>
      </c>
      <c r="B55" s="426" t="s">
        <v>281</v>
      </c>
      <c r="C55" s="301"/>
    </row>
    <row r="56" spans="1:3" s="99" customFormat="1" ht="12" customHeight="1" x14ac:dyDescent="0.2">
      <c r="A56" s="445" t="s">
        <v>277</v>
      </c>
      <c r="B56" s="426" t="s">
        <v>282</v>
      </c>
      <c r="C56" s="301"/>
    </row>
    <row r="57" spans="1:3" s="99" customFormat="1" ht="12" customHeight="1" thickBot="1" x14ac:dyDescent="0.25">
      <c r="A57" s="446" t="s">
        <v>278</v>
      </c>
      <c r="B57" s="427" t="s">
        <v>283</v>
      </c>
      <c r="C57" s="411"/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/>
    </row>
    <row r="60" spans="1:3" s="99" customFormat="1" ht="12" customHeight="1" x14ac:dyDescent="0.2">
      <c r="A60" s="445" t="s">
        <v>91</v>
      </c>
      <c r="B60" s="426" t="s">
        <v>418</v>
      </c>
      <c r="C60" s="298"/>
    </row>
    <row r="61" spans="1:3" s="99" customFormat="1" ht="12" customHeight="1" x14ac:dyDescent="0.2">
      <c r="A61" s="445" t="s">
        <v>288</v>
      </c>
      <c r="B61" s="426" t="s">
        <v>286</v>
      </c>
      <c r="C61" s="298"/>
    </row>
    <row r="62" spans="1:3" s="99" customFormat="1" ht="12" customHeight="1" thickBot="1" x14ac:dyDescent="0.25">
      <c r="A62" s="446" t="s">
        <v>289</v>
      </c>
      <c r="B62" s="427" t="s">
        <v>287</v>
      </c>
      <c r="C62" s="300"/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427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10788382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428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0</v>
      </c>
    </row>
    <row r="79" spans="1:3" s="99" customFormat="1" ht="12" customHeight="1" x14ac:dyDescent="0.2">
      <c r="A79" s="444" t="s">
        <v>331</v>
      </c>
      <c r="B79" s="425" t="s">
        <v>309</v>
      </c>
      <c r="C79" s="301"/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0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10788382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+C97+C98+C99+C100+C101+C114</f>
        <v>10788382</v>
      </c>
    </row>
    <row r="97" spans="1:3" ht="12" customHeight="1" x14ac:dyDescent="0.2">
      <c r="A97" s="452" t="s">
        <v>92</v>
      </c>
      <c r="B97" s="10" t="s">
        <v>46</v>
      </c>
      <c r="C97" s="297">
        <v>6518623</v>
      </c>
    </row>
    <row r="98" spans="1:3" ht="12" customHeight="1" x14ac:dyDescent="0.2">
      <c r="A98" s="445" t="s">
        <v>93</v>
      </c>
      <c r="B98" s="8" t="s">
        <v>172</v>
      </c>
      <c r="C98" s="298">
        <v>1140759</v>
      </c>
    </row>
    <row r="99" spans="1:3" ht="12" customHeight="1" x14ac:dyDescent="0.2">
      <c r="A99" s="445" t="s">
        <v>94</v>
      </c>
      <c r="B99" s="8" t="s">
        <v>134</v>
      </c>
      <c r="C99" s="300">
        <v>3129000</v>
      </c>
    </row>
    <row r="100" spans="1:3" ht="12" customHeight="1" x14ac:dyDescent="0.2">
      <c r="A100" s="445" t="s">
        <v>95</v>
      </c>
      <c r="B100" s="11" t="s">
        <v>173</v>
      </c>
      <c r="C100" s="300"/>
    </row>
    <row r="101" spans="1:3" ht="12" customHeight="1" x14ac:dyDescent="0.2">
      <c r="A101" s="445" t="s">
        <v>106</v>
      </c>
      <c r="B101" s="19" t="s">
        <v>174</v>
      </c>
      <c r="C101" s="300"/>
    </row>
    <row r="102" spans="1:3" ht="12" customHeight="1" x14ac:dyDescent="0.2">
      <c r="A102" s="445" t="s">
        <v>96</v>
      </c>
      <c r="B102" s="8" t="s">
        <v>498</v>
      </c>
      <c r="C102" s="300"/>
    </row>
    <row r="103" spans="1:3" ht="12" customHeight="1" x14ac:dyDescent="0.2">
      <c r="A103" s="445" t="s">
        <v>97</v>
      </c>
      <c r="B103" s="149" t="s">
        <v>433</v>
      </c>
      <c r="C103" s="300"/>
    </row>
    <row r="104" spans="1:3" ht="12" customHeight="1" x14ac:dyDescent="0.2">
      <c r="A104" s="445" t="s">
        <v>107</v>
      </c>
      <c r="B104" s="149" t="s">
        <v>432</v>
      </c>
      <c r="C104" s="300"/>
    </row>
    <row r="105" spans="1:3" ht="12" customHeight="1" x14ac:dyDescent="0.2">
      <c r="A105" s="445" t="s">
        <v>108</v>
      </c>
      <c r="B105" s="149" t="s">
        <v>342</v>
      </c>
      <c r="C105" s="300"/>
    </row>
    <row r="106" spans="1:3" ht="12" customHeight="1" x14ac:dyDescent="0.2">
      <c r="A106" s="445" t="s">
        <v>109</v>
      </c>
      <c r="B106" s="150" t="s">
        <v>343</v>
      </c>
      <c r="C106" s="300"/>
    </row>
    <row r="107" spans="1:3" ht="12" customHeight="1" x14ac:dyDescent="0.2">
      <c r="A107" s="445" t="s">
        <v>110</v>
      </c>
      <c r="B107" s="150" t="s">
        <v>344</v>
      </c>
      <c r="C107" s="300"/>
    </row>
    <row r="108" spans="1:3" ht="12" customHeight="1" x14ac:dyDescent="0.2">
      <c r="A108" s="445" t="s">
        <v>112</v>
      </c>
      <c r="B108" s="149" t="s">
        <v>345</v>
      </c>
      <c r="C108" s="300"/>
    </row>
    <row r="109" spans="1:3" ht="12" customHeight="1" x14ac:dyDescent="0.2">
      <c r="A109" s="445" t="s">
        <v>175</v>
      </c>
      <c r="B109" s="149" t="s">
        <v>346</v>
      </c>
      <c r="C109" s="300"/>
    </row>
    <row r="110" spans="1:3" ht="12" customHeight="1" x14ac:dyDescent="0.2">
      <c r="A110" s="445" t="s">
        <v>340</v>
      </c>
      <c r="B110" s="150" t="s">
        <v>347</v>
      </c>
      <c r="C110" s="300"/>
    </row>
    <row r="111" spans="1:3" ht="12" customHeight="1" x14ac:dyDescent="0.2">
      <c r="A111" s="453" t="s">
        <v>341</v>
      </c>
      <c r="B111" s="151" t="s">
        <v>348</v>
      </c>
      <c r="C111" s="300"/>
    </row>
    <row r="112" spans="1:3" ht="12" customHeight="1" x14ac:dyDescent="0.2">
      <c r="A112" s="445" t="s">
        <v>430</v>
      </c>
      <c r="B112" s="151" t="s">
        <v>349</v>
      </c>
      <c r="C112" s="300"/>
    </row>
    <row r="113" spans="1:3" ht="12" customHeight="1" x14ac:dyDescent="0.2">
      <c r="A113" s="445" t="s">
        <v>431</v>
      </c>
      <c r="B113" s="150" t="s">
        <v>350</v>
      </c>
      <c r="C113" s="298"/>
    </row>
    <row r="114" spans="1:3" ht="12" customHeight="1" x14ac:dyDescent="0.2">
      <c r="A114" s="445" t="s">
        <v>435</v>
      </c>
      <c r="B114" s="11" t="s">
        <v>47</v>
      </c>
      <c r="C114" s="298"/>
    </row>
    <row r="115" spans="1:3" ht="12" customHeight="1" x14ac:dyDescent="0.2">
      <c r="A115" s="446" t="s">
        <v>436</v>
      </c>
      <c r="B115" s="8" t="s">
        <v>499</v>
      </c>
      <c r="C115" s="300"/>
    </row>
    <row r="116" spans="1:3" ht="12" customHeight="1" thickBot="1" x14ac:dyDescent="0.25">
      <c r="A116" s="454" t="s">
        <v>437</v>
      </c>
      <c r="B116" s="152" t="s">
        <v>500</v>
      </c>
      <c r="C116" s="304"/>
    </row>
    <row r="117" spans="1:3" ht="12" customHeight="1" thickBot="1" x14ac:dyDescent="0.25">
      <c r="A117" s="33" t="s">
        <v>16</v>
      </c>
      <c r="B117" s="27" t="s">
        <v>351</v>
      </c>
      <c r="C117" s="296">
        <f>+C118+C120+C122</f>
        <v>0</v>
      </c>
    </row>
    <row r="118" spans="1:3" ht="12" customHeight="1" x14ac:dyDescent="0.2">
      <c r="A118" s="444" t="s">
        <v>98</v>
      </c>
      <c r="B118" s="8" t="s">
        <v>214</v>
      </c>
      <c r="C118" s="299"/>
    </row>
    <row r="119" spans="1:3" ht="12" customHeight="1" x14ac:dyDescent="0.2">
      <c r="A119" s="444" t="s">
        <v>99</v>
      </c>
      <c r="B119" s="12" t="s">
        <v>355</v>
      </c>
      <c r="C119" s="299"/>
    </row>
    <row r="120" spans="1:3" ht="12" customHeight="1" x14ac:dyDescent="0.2">
      <c r="A120" s="444" t="s">
        <v>100</v>
      </c>
      <c r="B120" s="12" t="s">
        <v>176</v>
      </c>
      <c r="C120" s="298"/>
    </row>
    <row r="121" spans="1:3" ht="12" customHeight="1" x14ac:dyDescent="0.2">
      <c r="A121" s="444" t="s">
        <v>101</v>
      </c>
      <c r="B121" s="12" t="s">
        <v>356</v>
      </c>
      <c r="C121" s="279"/>
    </row>
    <row r="122" spans="1:3" ht="12" customHeight="1" x14ac:dyDescent="0.2">
      <c r="A122" s="444" t="s">
        <v>102</v>
      </c>
      <c r="B122" s="293" t="s">
        <v>217</v>
      </c>
      <c r="C122" s="279"/>
    </row>
    <row r="123" spans="1:3" ht="12" customHeight="1" x14ac:dyDescent="0.2">
      <c r="A123" s="444" t="s">
        <v>111</v>
      </c>
      <c r="B123" s="292" t="s">
        <v>420</v>
      </c>
      <c r="C123" s="279"/>
    </row>
    <row r="124" spans="1:3" ht="12" customHeight="1" x14ac:dyDescent="0.2">
      <c r="A124" s="444" t="s">
        <v>113</v>
      </c>
      <c r="B124" s="421" t="s">
        <v>361</v>
      </c>
      <c r="C124" s="279"/>
    </row>
    <row r="125" spans="1:3" ht="12" customHeight="1" x14ac:dyDescent="0.2">
      <c r="A125" s="444" t="s">
        <v>177</v>
      </c>
      <c r="B125" s="150" t="s">
        <v>344</v>
      </c>
      <c r="C125" s="279"/>
    </row>
    <row r="126" spans="1:3" ht="12" customHeight="1" x14ac:dyDescent="0.2">
      <c r="A126" s="444" t="s">
        <v>178</v>
      </c>
      <c r="B126" s="150" t="s">
        <v>360</v>
      </c>
      <c r="C126" s="279"/>
    </row>
    <row r="127" spans="1:3" ht="12" customHeight="1" x14ac:dyDescent="0.2">
      <c r="A127" s="444" t="s">
        <v>179</v>
      </c>
      <c r="B127" s="150" t="s">
        <v>359</v>
      </c>
      <c r="C127" s="279"/>
    </row>
    <row r="128" spans="1:3" ht="12" customHeight="1" x14ac:dyDescent="0.2">
      <c r="A128" s="444" t="s">
        <v>352</v>
      </c>
      <c r="B128" s="150" t="s">
        <v>347</v>
      </c>
      <c r="C128" s="279"/>
    </row>
    <row r="129" spans="1:11" ht="12" customHeight="1" x14ac:dyDescent="0.2">
      <c r="A129" s="444" t="s">
        <v>353</v>
      </c>
      <c r="B129" s="150" t="s">
        <v>358</v>
      </c>
      <c r="C129" s="279"/>
    </row>
    <row r="130" spans="1:11" ht="12" customHeight="1" thickBot="1" x14ac:dyDescent="0.25">
      <c r="A130" s="453" t="s">
        <v>354</v>
      </c>
      <c r="B130" s="150" t="s">
        <v>357</v>
      </c>
      <c r="C130" s="281"/>
    </row>
    <row r="131" spans="1:11" ht="12" customHeight="1" thickBot="1" x14ac:dyDescent="0.25">
      <c r="A131" s="33" t="s">
        <v>17</v>
      </c>
      <c r="B131" s="132" t="s">
        <v>440</v>
      </c>
      <c r="C131" s="296">
        <f>+C96+C117</f>
        <v>10788382</v>
      </c>
    </row>
    <row r="132" spans="1:11" ht="12" customHeight="1" thickBot="1" x14ac:dyDescent="0.25">
      <c r="A132" s="33" t="s">
        <v>18</v>
      </c>
      <c r="B132" s="132" t="s">
        <v>441</v>
      </c>
      <c r="C132" s="296">
        <f>+C133+C134+C135</f>
        <v>0</v>
      </c>
    </row>
    <row r="133" spans="1:11" s="100" customFormat="1" ht="12" customHeight="1" x14ac:dyDescent="0.2">
      <c r="A133" s="444" t="s">
        <v>256</v>
      </c>
      <c r="B133" s="9" t="s">
        <v>504</v>
      </c>
      <c r="C133" s="279"/>
    </row>
    <row r="134" spans="1:11" ht="12" customHeight="1" x14ac:dyDescent="0.2">
      <c r="A134" s="444" t="s">
        <v>257</v>
      </c>
      <c r="B134" s="9" t="s">
        <v>449</v>
      </c>
      <c r="C134" s="279"/>
    </row>
    <row r="135" spans="1:11" ht="12" customHeight="1" thickBot="1" x14ac:dyDescent="0.25">
      <c r="A135" s="453" t="s">
        <v>258</v>
      </c>
      <c r="B135" s="7" t="s">
        <v>503</v>
      </c>
      <c r="C135" s="279"/>
    </row>
    <row r="136" spans="1:11" ht="12" customHeight="1" thickBot="1" x14ac:dyDescent="0.25">
      <c r="A136" s="33" t="s">
        <v>19</v>
      </c>
      <c r="B136" s="132" t="s">
        <v>442</v>
      </c>
      <c r="C136" s="296">
        <f>+C137+C138+C139+C140+C141+C142</f>
        <v>0</v>
      </c>
    </row>
    <row r="137" spans="1:11" ht="12" customHeight="1" x14ac:dyDescent="0.2">
      <c r="A137" s="444" t="s">
        <v>85</v>
      </c>
      <c r="B137" s="9" t="s">
        <v>451</v>
      </c>
      <c r="C137" s="279"/>
    </row>
    <row r="138" spans="1:11" ht="12" customHeight="1" x14ac:dyDescent="0.2">
      <c r="A138" s="444" t="s">
        <v>86</v>
      </c>
      <c r="B138" s="9" t="s">
        <v>443</v>
      </c>
      <c r="C138" s="279"/>
    </row>
    <row r="139" spans="1:11" ht="12" customHeight="1" x14ac:dyDescent="0.2">
      <c r="A139" s="444" t="s">
        <v>87</v>
      </c>
      <c r="B139" s="9" t="s">
        <v>444</v>
      </c>
      <c r="C139" s="279"/>
    </row>
    <row r="140" spans="1:11" ht="12" customHeight="1" x14ac:dyDescent="0.2">
      <c r="A140" s="444" t="s">
        <v>164</v>
      </c>
      <c r="B140" s="9" t="s">
        <v>502</v>
      </c>
      <c r="C140" s="279"/>
    </row>
    <row r="141" spans="1:11" ht="12" customHeight="1" x14ac:dyDescent="0.2">
      <c r="A141" s="444" t="s">
        <v>165</v>
      </c>
      <c r="B141" s="9" t="s">
        <v>446</v>
      </c>
      <c r="C141" s="279"/>
    </row>
    <row r="142" spans="1:11" s="100" customFormat="1" ht="12" customHeight="1" thickBot="1" x14ac:dyDescent="0.25">
      <c r="A142" s="453" t="s">
        <v>166</v>
      </c>
      <c r="B142" s="7" t="s">
        <v>447</v>
      </c>
      <c r="C142" s="279"/>
    </row>
    <row r="143" spans="1:11" ht="12" customHeight="1" thickBot="1" x14ac:dyDescent="0.25">
      <c r="A143" s="33" t="s">
        <v>20</v>
      </c>
      <c r="B143" s="132" t="s">
        <v>529</v>
      </c>
      <c r="C143" s="302">
        <f>+C144+C145+C147+C148+C146</f>
        <v>0</v>
      </c>
      <c r="K143" s="261"/>
    </row>
    <row r="144" spans="1:11" x14ac:dyDescent="0.2">
      <c r="A144" s="444" t="s">
        <v>88</v>
      </c>
      <c r="B144" s="9" t="s">
        <v>362</v>
      </c>
      <c r="C144" s="279"/>
    </row>
    <row r="145" spans="1:3" ht="12" customHeight="1" x14ac:dyDescent="0.2">
      <c r="A145" s="444" t="s">
        <v>89</v>
      </c>
      <c r="B145" s="9" t="s">
        <v>363</v>
      </c>
      <c r="C145" s="279"/>
    </row>
    <row r="146" spans="1:3" s="100" customFormat="1" ht="12" customHeight="1" x14ac:dyDescent="0.2">
      <c r="A146" s="444" t="s">
        <v>276</v>
      </c>
      <c r="B146" s="9" t="s">
        <v>528</v>
      </c>
      <c r="C146" s="279"/>
    </row>
    <row r="147" spans="1:3" s="100" customFormat="1" ht="12" customHeight="1" x14ac:dyDescent="0.2">
      <c r="A147" s="444" t="s">
        <v>277</v>
      </c>
      <c r="B147" s="9" t="s">
        <v>456</v>
      </c>
      <c r="C147" s="279"/>
    </row>
    <row r="148" spans="1:3" s="100" customFormat="1" ht="12" customHeight="1" thickBot="1" x14ac:dyDescent="0.25">
      <c r="A148" s="453" t="s">
        <v>278</v>
      </c>
      <c r="B148" s="7" t="s">
        <v>382</v>
      </c>
      <c r="C148" s="279"/>
    </row>
    <row r="149" spans="1:3" s="100" customFormat="1" ht="12" customHeight="1" thickBot="1" x14ac:dyDescent="0.25">
      <c r="A149" s="33" t="s">
        <v>21</v>
      </c>
      <c r="B149" s="132" t="s">
        <v>457</v>
      </c>
      <c r="C149" s="305">
        <f>+C150+C151+C152+C153+C154</f>
        <v>0</v>
      </c>
    </row>
    <row r="150" spans="1:3" s="100" customFormat="1" ht="12" customHeight="1" x14ac:dyDescent="0.2">
      <c r="A150" s="444" t="s">
        <v>90</v>
      </c>
      <c r="B150" s="9" t="s">
        <v>452</v>
      </c>
      <c r="C150" s="279"/>
    </row>
    <row r="151" spans="1:3" s="100" customFormat="1" ht="12" customHeight="1" x14ac:dyDescent="0.2">
      <c r="A151" s="444" t="s">
        <v>91</v>
      </c>
      <c r="B151" s="9" t="s">
        <v>459</v>
      </c>
      <c r="C151" s="279"/>
    </row>
    <row r="152" spans="1:3" s="100" customFormat="1" ht="12" customHeight="1" x14ac:dyDescent="0.2">
      <c r="A152" s="444" t="s">
        <v>288</v>
      </c>
      <c r="B152" s="9" t="s">
        <v>454</v>
      </c>
      <c r="C152" s="279"/>
    </row>
    <row r="153" spans="1:3" ht="12.75" customHeight="1" x14ac:dyDescent="0.2">
      <c r="A153" s="444" t="s">
        <v>289</v>
      </c>
      <c r="B153" s="9" t="s">
        <v>505</v>
      </c>
      <c r="C153" s="279"/>
    </row>
    <row r="154" spans="1:3" ht="12.75" customHeight="1" thickBot="1" x14ac:dyDescent="0.25">
      <c r="A154" s="453" t="s">
        <v>458</v>
      </c>
      <c r="B154" s="7" t="s">
        <v>461</v>
      </c>
      <c r="C154" s="281"/>
    </row>
    <row r="155" spans="1:3" ht="12.75" customHeight="1" thickBot="1" x14ac:dyDescent="0.25">
      <c r="A155" s="497" t="s">
        <v>22</v>
      </c>
      <c r="B155" s="132" t="s">
        <v>462</v>
      </c>
      <c r="C155" s="305"/>
    </row>
    <row r="156" spans="1:3" ht="12" customHeight="1" thickBot="1" x14ac:dyDescent="0.25">
      <c r="A156" s="497" t="s">
        <v>23</v>
      </c>
      <c r="B156" s="132" t="s">
        <v>463</v>
      </c>
      <c r="C156" s="305"/>
    </row>
    <row r="157" spans="1:3" ht="15" customHeight="1" thickBot="1" x14ac:dyDescent="0.25">
      <c r="A157" s="33" t="s">
        <v>24</v>
      </c>
      <c r="B157" s="132" t="s">
        <v>465</v>
      </c>
      <c r="C157" s="435">
        <f>+C132+C136+C143+C149+C155+C156</f>
        <v>0</v>
      </c>
    </row>
    <row r="158" spans="1:3" ht="13.5" thickBot="1" x14ac:dyDescent="0.25">
      <c r="A158" s="455" t="s">
        <v>25</v>
      </c>
      <c r="B158" s="387" t="s">
        <v>464</v>
      </c>
      <c r="C158" s="435">
        <f>+C131+C157</f>
        <v>10788382</v>
      </c>
    </row>
    <row r="159" spans="1:3" ht="15" customHeight="1" thickBot="1" x14ac:dyDescent="0.25">
      <c r="A159" s="395"/>
      <c r="B159" s="396"/>
      <c r="C159" s="397"/>
    </row>
    <row r="160" spans="1:3" ht="14.25" customHeight="1" thickBot="1" x14ac:dyDescent="0.25">
      <c r="A160" s="258" t="s">
        <v>506</v>
      </c>
      <c r="B160" s="259"/>
      <c r="C160" s="129"/>
    </row>
    <row r="161" spans="1:3" ht="13.5" thickBot="1" x14ac:dyDescent="0.25">
      <c r="A161" s="258" t="s">
        <v>195</v>
      </c>
      <c r="B161" s="259"/>
      <c r="C1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topLeftCell="A118" zoomScale="85" zoomScaleNormal="130" zoomScaleSheetLayoutView="85" workbookViewId="0">
      <selection activeCell="A10" sqref="A10:B1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…./2020. (…..) önkormányzati rendelethez</v>
      </c>
    </row>
    <row r="2" spans="1:3" s="96" customFormat="1" ht="21" customHeight="1" x14ac:dyDescent="0.2">
      <c r="A2" s="415" t="s">
        <v>59</v>
      </c>
      <c r="B2" s="357" t="s">
        <v>553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+C9+C10+C13+C14+C15+C16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710</v>
      </c>
      <c r="C10" s="298"/>
    </row>
    <row r="11" spans="1:3" s="99" customFormat="1" ht="12" customHeight="1" x14ac:dyDescent="0.2">
      <c r="A11" s="445" t="s">
        <v>712</v>
      </c>
      <c r="B11" s="426" t="s">
        <v>708</v>
      </c>
      <c r="C11" s="298"/>
    </row>
    <row r="12" spans="1:3" s="99" customFormat="1" ht="12" customHeight="1" x14ac:dyDescent="0.2">
      <c r="A12" s="445" t="s">
        <v>713</v>
      </c>
      <c r="B12" s="426" t="s">
        <v>709</v>
      </c>
      <c r="C12" s="298"/>
    </row>
    <row r="13" spans="1:3" s="99" customFormat="1" ht="23.25" customHeight="1" x14ac:dyDescent="0.2">
      <c r="A13" s="445" t="s">
        <v>94</v>
      </c>
      <c r="B13" s="426" t="s">
        <v>714</v>
      </c>
      <c r="C13" s="298"/>
    </row>
    <row r="14" spans="1:3" s="99" customFormat="1" ht="12" customHeight="1" x14ac:dyDescent="0.2">
      <c r="A14" s="445" t="s">
        <v>95</v>
      </c>
      <c r="B14" s="426" t="s">
        <v>711</v>
      </c>
      <c r="C14" s="298"/>
    </row>
    <row r="15" spans="1:3" s="99" customFormat="1" ht="12" customHeight="1" x14ac:dyDescent="0.2">
      <c r="A15" s="445" t="s">
        <v>141</v>
      </c>
      <c r="B15" s="426" t="s">
        <v>493</v>
      </c>
      <c r="C15" s="298"/>
    </row>
    <row r="16" spans="1:3" s="98" customFormat="1" ht="12" customHeight="1" thickBot="1" x14ac:dyDescent="0.25">
      <c r="A16" s="446" t="s">
        <v>96</v>
      </c>
      <c r="B16" s="427" t="s">
        <v>425</v>
      </c>
      <c r="C16" s="298"/>
    </row>
    <row r="17" spans="1:3" s="98" customFormat="1" ht="12" customHeight="1" thickBot="1" x14ac:dyDescent="0.25">
      <c r="A17" s="33" t="s">
        <v>16</v>
      </c>
      <c r="B17" s="291" t="s">
        <v>245</v>
      </c>
      <c r="C17" s="296">
        <f>+C18+C19+C20+C21+C22</f>
        <v>0</v>
      </c>
    </row>
    <row r="18" spans="1:3" s="98" customFormat="1" ht="12" customHeight="1" x14ac:dyDescent="0.2">
      <c r="A18" s="444" t="s">
        <v>98</v>
      </c>
      <c r="B18" s="425" t="s">
        <v>246</v>
      </c>
      <c r="C18" s="299"/>
    </row>
    <row r="19" spans="1:3" s="98" customFormat="1" ht="12" customHeight="1" x14ac:dyDescent="0.2">
      <c r="A19" s="445" t="s">
        <v>99</v>
      </c>
      <c r="B19" s="426" t="s">
        <v>247</v>
      </c>
      <c r="C19" s="298"/>
    </row>
    <row r="20" spans="1:3" s="98" customFormat="1" ht="12" customHeight="1" x14ac:dyDescent="0.2">
      <c r="A20" s="445" t="s">
        <v>100</v>
      </c>
      <c r="B20" s="426" t="s">
        <v>414</v>
      </c>
      <c r="C20" s="298"/>
    </row>
    <row r="21" spans="1:3" s="98" customFormat="1" ht="12" customHeight="1" x14ac:dyDescent="0.2">
      <c r="A21" s="445" t="s">
        <v>101</v>
      </c>
      <c r="B21" s="426" t="s">
        <v>415</v>
      </c>
      <c r="C21" s="298"/>
    </row>
    <row r="22" spans="1:3" s="98" customFormat="1" ht="12" customHeight="1" x14ac:dyDescent="0.2">
      <c r="A22" s="445" t="s">
        <v>102</v>
      </c>
      <c r="B22" s="426" t="s">
        <v>248</v>
      </c>
      <c r="C22" s="298"/>
    </row>
    <row r="23" spans="1:3" s="99" customFormat="1" ht="12" customHeight="1" thickBot="1" x14ac:dyDescent="0.25">
      <c r="A23" s="446" t="s">
        <v>111</v>
      </c>
      <c r="B23" s="427" t="s">
        <v>249</v>
      </c>
      <c r="C23" s="300"/>
    </row>
    <row r="24" spans="1:3" s="99" customFormat="1" ht="12" customHeight="1" thickBot="1" x14ac:dyDescent="0.25">
      <c r="A24" s="33" t="s">
        <v>17</v>
      </c>
      <c r="B24" s="21" t="s">
        <v>250</v>
      </c>
      <c r="C24" s="296">
        <f>+C25+C26+C27+C28+C29</f>
        <v>0</v>
      </c>
    </row>
    <row r="25" spans="1:3" s="99" customFormat="1" ht="12" customHeight="1" x14ac:dyDescent="0.2">
      <c r="A25" s="444" t="s">
        <v>81</v>
      </c>
      <c r="B25" s="425" t="s">
        <v>251</v>
      </c>
      <c r="C25" s="299"/>
    </row>
    <row r="26" spans="1:3" s="98" customFormat="1" ht="12" customHeight="1" x14ac:dyDescent="0.2">
      <c r="A26" s="445" t="s">
        <v>82</v>
      </c>
      <c r="B26" s="426" t="s">
        <v>252</v>
      </c>
      <c r="C26" s="298"/>
    </row>
    <row r="27" spans="1:3" s="99" customFormat="1" ht="12" customHeight="1" x14ac:dyDescent="0.2">
      <c r="A27" s="445" t="s">
        <v>83</v>
      </c>
      <c r="B27" s="426" t="s">
        <v>416</v>
      </c>
      <c r="C27" s="298"/>
    </row>
    <row r="28" spans="1:3" s="99" customFormat="1" ht="12" customHeight="1" x14ac:dyDescent="0.2">
      <c r="A28" s="445" t="s">
        <v>84</v>
      </c>
      <c r="B28" s="426" t="s">
        <v>417</v>
      </c>
      <c r="C28" s="298"/>
    </row>
    <row r="29" spans="1:3" s="99" customFormat="1" ht="12" customHeight="1" x14ac:dyDescent="0.2">
      <c r="A29" s="445" t="s">
        <v>160</v>
      </c>
      <c r="B29" s="426" t="s">
        <v>253</v>
      </c>
      <c r="C29" s="298"/>
    </row>
    <row r="30" spans="1:3" s="99" customFormat="1" ht="12" customHeight="1" thickBot="1" x14ac:dyDescent="0.25">
      <c r="A30" s="446" t="s">
        <v>161</v>
      </c>
      <c r="B30" s="427" t="s">
        <v>254</v>
      </c>
      <c r="C30" s="300"/>
    </row>
    <row r="31" spans="1:3" s="99" customFormat="1" ht="12" customHeight="1" thickBot="1" x14ac:dyDescent="0.25">
      <c r="A31" s="33" t="s">
        <v>162</v>
      </c>
      <c r="B31" s="21" t="s">
        <v>255</v>
      </c>
      <c r="C31" s="302">
        <f>SUM(C32:C39)</f>
        <v>0</v>
      </c>
    </row>
    <row r="32" spans="1:3" s="99" customFormat="1" ht="12" customHeight="1" x14ac:dyDescent="0.2">
      <c r="A32" s="444" t="s">
        <v>256</v>
      </c>
      <c r="B32" s="425" t="s">
        <v>542</v>
      </c>
      <c r="C32" s="299"/>
    </row>
    <row r="33" spans="1:3" s="99" customFormat="1" ht="12" customHeight="1" x14ac:dyDescent="0.2">
      <c r="A33" s="445" t="s">
        <v>257</v>
      </c>
      <c r="B33" s="426" t="s">
        <v>543</v>
      </c>
      <c r="C33" s="298"/>
    </row>
    <row r="34" spans="1:3" s="99" customFormat="1" ht="12" customHeight="1" x14ac:dyDescent="0.2">
      <c r="A34" s="445" t="s">
        <v>258</v>
      </c>
      <c r="B34" s="426" t="s">
        <v>618</v>
      </c>
      <c r="C34" s="298"/>
    </row>
    <row r="35" spans="1:3" s="99" customFormat="1" ht="12" customHeight="1" x14ac:dyDescent="0.2">
      <c r="A35" s="445" t="s">
        <v>259</v>
      </c>
      <c r="B35" s="426" t="s">
        <v>544</v>
      </c>
      <c r="C35" s="298"/>
    </row>
    <row r="36" spans="1:3" s="99" customFormat="1" ht="12" customHeight="1" x14ac:dyDescent="0.2">
      <c r="A36" s="445" t="s">
        <v>539</v>
      </c>
      <c r="B36" s="426" t="s">
        <v>545</v>
      </c>
      <c r="C36" s="298"/>
    </row>
    <row r="37" spans="1:3" s="99" customFormat="1" ht="12" customHeight="1" x14ac:dyDescent="0.2">
      <c r="A37" s="445" t="s">
        <v>540</v>
      </c>
      <c r="B37" s="426" t="s">
        <v>260</v>
      </c>
      <c r="C37" s="298"/>
    </row>
    <row r="38" spans="1:3" s="99" customFormat="1" ht="12" customHeight="1" x14ac:dyDescent="0.2">
      <c r="A38" s="446" t="s">
        <v>541</v>
      </c>
      <c r="B38" s="426" t="s">
        <v>261</v>
      </c>
      <c r="C38" s="298"/>
    </row>
    <row r="39" spans="1:3" s="99" customFormat="1" ht="12" customHeight="1" thickBot="1" x14ac:dyDescent="0.25">
      <c r="A39" s="446" t="s">
        <v>619</v>
      </c>
      <c r="B39" s="522" t="s">
        <v>262</v>
      </c>
      <c r="C39" s="300"/>
    </row>
    <row r="40" spans="1:3" s="99" customFormat="1" ht="12" customHeight="1" thickBot="1" x14ac:dyDescent="0.25">
      <c r="A40" s="33" t="s">
        <v>19</v>
      </c>
      <c r="B40" s="21" t="s">
        <v>426</v>
      </c>
      <c r="C40" s="296">
        <f>SUM(C41:C51)</f>
        <v>0</v>
      </c>
    </row>
    <row r="41" spans="1:3" s="99" customFormat="1" ht="12" customHeight="1" x14ac:dyDescent="0.2">
      <c r="A41" s="444" t="s">
        <v>85</v>
      </c>
      <c r="B41" s="425" t="s">
        <v>265</v>
      </c>
      <c r="C41" s="299"/>
    </row>
    <row r="42" spans="1:3" s="99" customFormat="1" ht="12" customHeight="1" x14ac:dyDescent="0.2">
      <c r="A42" s="445" t="s">
        <v>86</v>
      </c>
      <c r="B42" s="426" t="s">
        <v>266</v>
      </c>
      <c r="C42" s="298"/>
    </row>
    <row r="43" spans="1:3" s="99" customFormat="1" ht="12" customHeight="1" x14ac:dyDescent="0.2">
      <c r="A43" s="445" t="s">
        <v>87</v>
      </c>
      <c r="B43" s="426" t="s">
        <v>267</v>
      </c>
      <c r="C43" s="298"/>
    </row>
    <row r="44" spans="1:3" s="99" customFormat="1" ht="12" customHeight="1" x14ac:dyDescent="0.2">
      <c r="A44" s="445" t="s">
        <v>164</v>
      </c>
      <c r="B44" s="426" t="s">
        <v>268</v>
      </c>
      <c r="C44" s="298"/>
    </row>
    <row r="45" spans="1:3" s="99" customFormat="1" ht="12" customHeight="1" x14ac:dyDescent="0.2">
      <c r="A45" s="445" t="s">
        <v>165</v>
      </c>
      <c r="B45" s="426" t="s">
        <v>269</v>
      </c>
      <c r="C45" s="298"/>
    </row>
    <row r="46" spans="1:3" s="99" customFormat="1" ht="12" customHeight="1" x14ac:dyDescent="0.2">
      <c r="A46" s="445" t="s">
        <v>166</v>
      </c>
      <c r="B46" s="426" t="s">
        <v>270</v>
      </c>
      <c r="C46" s="298"/>
    </row>
    <row r="47" spans="1:3" s="99" customFormat="1" ht="12" customHeight="1" x14ac:dyDescent="0.2">
      <c r="A47" s="445" t="s">
        <v>167</v>
      </c>
      <c r="B47" s="426" t="s">
        <v>271</v>
      </c>
      <c r="C47" s="298"/>
    </row>
    <row r="48" spans="1:3" s="99" customFormat="1" ht="12" customHeight="1" x14ac:dyDescent="0.2">
      <c r="A48" s="445" t="s">
        <v>168</v>
      </c>
      <c r="B48" s="426" t="s">
        <v>546</v>
      </c>
      <c r="C48" s="298"/>
    </row>
    <row r="49" spans="1:3" s="99" customFormat="1" ht="12" customHeight="1" x14ac:dyDescent="0.2">
      <c r="A49" s="445" t="s">
        <v>263</v>
      </c>
      <c r="B49" s="426" t="s">
        <v>273</v>
      </c>
      <c r="C49" s="301"/>
    </row>
    <row r="50" spans="1:3" s="99" customFormat="1" ht="12" customHeight="1" x14ac:dyDescent="0.2">
      <c r="A50" s="446" t="s">
        <v>264</v>
      </c>
      <c r="B50" s="427" t="s">
        <v>428</v>
      </c>
      <c r="C50" s="411"/>
    </row>
    <row r="51" spans="1:3" s="99" customFormat="1" ht="12" customHeight="1" thickBot="1" x14ac:dyDescent="0.25">
      <c r="A51" s="446" t="s">
        <v>427</v>
      </c>
      <c r="B51" s="427" t="s">
        <v>274</v>
      </c>
      <c r="C51" s="411"/>
    </row>
    <row r="52" spans="1:3" s="99" customFormat="1" ht="12" customHeight="1" thickBot="1" x14ac:dyDescent="0.25">
      <c r="A52" s="33" t="s">
        <v>20</v>
      </c>
      <c r="B52" s="21" t="s">
        <v>275</v>
      </c>
      <c r="C52" s="296">
        <f>SUM(C53:C57)</f>
        <v>0</v>
      </c>
    </row>
    <row r="53" spans="1:3" s="99" customFormat="1" ht="12" customHeight="1" x14ac:dyDescent="0.2">
      <c r="A53" s="444" t="s">
        <v>88</v>
      </c>
      <c r="B53" s="425" t="s">
        <v>279</v>
      </c>
      <c r="C53" s="470"/>
    </row>
    <row r="54" spans="1:3" s="99" customFormat="1" ht="12" customHeight="1" x14ac:dyDescent="0.2">
      <c r="A54" s="445" t="s">
        <v>89</v>
      </c>
      <c r="B54" s="426" t="s">
        <v>280</v>
      </c>
      <c r="C54" s="301"/>
    </row>
    <row r="55" spans="1:3" s="99" customFormat="1" ht="12" customHeight="1" x14ac:dyDescent="0.2">
      <c r="A55" s="445" t="s">
        <v>276</v>
      </c>
      <c r="B55" s="426" t="s">
        <v>281</v>
      </c>
      <c r="C55" s="301"/>
    </row>
    <row r="56" spans="1:3" s="99" customFormat="1" ht="12" customHeight="1" x14ac:dyDescent="0.2">
      <c r="A56" s="445" t="s">
        <v>277</v>
      </c>
      <c r="B56" s="426" t="s">
        <v>282</v>
      </c>
      <c r="C56" s="301"/>
    </row>
    <row r="57" spans="1:3" s="99" customFormat="1" ht="12" customHeight="1" thickBot="1" x14ac:dyDescent="0.25">
      <c r="A57" s="446" t="s">
        <v>278</v>
      </c>
      <c r="B57" s="522" t="s">
        <v>283</v>
      </c>
      <c r="C57" s="411"/>
    </row>
    <row r="58" spans="1:3" s="99" customFormat="1" ht="12" customHeight="1" thickBot="1" x14ac:dyDescent="0.25">
      <c r="A58" s="33" t="s">
        <v>169</v>
      </c>
      <c r="B58" s="21" t="s">
        <v>284</v>
      </c>
      <c r="C58" s="296">
        <f>SUM(C59:C61)</f>
        <v>0</v>
      </c>
    </row>
    <row r="59" spans="1:3" s="99" customFormat="1" ht="12" customHeight="1" x14ac:dyDescent="0.2">
      <c r="A59" s="444" t="s">
        <v>90</v>
      </c>
      <c r="B59" s="425" t="s">
        <v>285</v>
      </c>
      <c r="C59" s="299"/>
    </row>
    <row r="60" spans="1:3" s="99" customFormat="1" ht="12" customHeight="1" x14ac:dyDescent="0.2">
      <c r="A60" s="445" t="s">
        <v>91</v>
      </c>
      <c r="B60" s="426" t="s">
        <v>418</v>
      </c>
      <c r="C60" s="298"/>
    </row>
    <row r="61" spans="1:3" s="99" customFormat="1" ht="12" customHeight="1" x14ac:dyDescent="0.2">
      <c r="A61" s="445" t="s">
        <v>288</v>
      </c>
      <c r="B61" s="426" t="s">
        <v>286</v>
      </c>
      <c r="C61" s="298"/>
    </row>
    <row r="62" spans="1:3" s="99" customFormat="1" ht="12" customHeight="1" thickBot="1" x14ac:dyDescent="0.25">
      <c r="A62" s="446" t="s">
        <v>289</v>
      </c>
      <c r="B62" s="522" t="s">
        <v>287</v>
      </c>
      <c r="C62" s="300"/>
    </row>
    <row r="63" spans="1:3" s="99" customFormat="1" ht="12" customHeight="1" thickBot="1" x14ac:dyDescent="0.25">
      <c r="A63" s="33" t="s">
        <v>22</v>
      </c>
      <c r="B63" s="291" t="s">
        <v>290</v>
      </c>
      <c r="C63" s="296">
        <f>SUM(C64:C66)</f>
        <v>0</v>
      </c>
    </row>
    <row r="64" spans="1:3" s="99" customFormat="1" ht="12" customHeight="1" x14ac:dyDescent="0.2">
      <c r="A64" s="444" t="s">
        <v>170</v>
      </c>
      <c r="B64" s="425" t="s">
        <v>292</v>
      </c>
      <c r="C64" s="301"/>
    </row>
    <row r="65" spans="1:3" s="99" customFormat="1" ht="12" customHeight="1" x14ac:dyDescent="0.2">
      <c r="A65" s="445" t="s">
        <v>171</v>
      </c>
      <c r="B65" s="426" t="s">
        <v>419</v>
      </c>
      <c r="C65" s="301"/>
    </row>
    <row r="66" spans="1:3" s="99" customFormat="1" ht="12" customHeight="1" x14ac:dyDescent="0.2">
      <c r="A66" s="445" t="s">
        <v>216</v>
      </c>
      <c r="B66" s="426" t="s">
        <v>293</v>
      </c>
      <c r="C66" s="301"/>
    </row>
    <row r="67" spans="1:3" s="99" customFormat="1" ht="12" customHeight="1" thickBot="1" x14ac:dyDescent="0.25">
      <c r="A67" s="446" t="s">
        <v>291</v>
      </c>
      <c r="B67" s="522" t="s">
        <v>294</v>
      </c>
      <c r="C67" s="301"/>
    </row>
    <row r="68" spans="1:3" s="99" customFormat="1" ht="12" customHeight="1" thickBot="1" x14ac:dyDescent="0.25">
      <c r="A68" s="33" t="s">
        <v>23</v>
      </c>
      <c r="B68" s="21" t="s">
        <v>295</v>
      </c>
      <c r="C68" s="302">
        <f>+C8+C17+C24+C31+C40+C52+C58+C63</f>
        <v>0</v>
      </c>
    </row>
    <row r="69" spans="1:3" s="99" customFormat="1" ht="12" customHeight="1" thickBot="1" x14ac:dyDescent="0.2">
      <c r="A69" s="447" t="s">
        <v>386</v>
      </c>
      <c r="B69" s="291" t="s">
        <v>297</v>
      </c>
      <c r="C69" s="296">
        <f>SUM(C70:C72)</f>
        <v>0</v>
      </c>
    </row>
    <row r="70" spans="1:3" s="99" customFormat="1" ht="12" customHeight="1" x14ac:dyDescent="0.2">
      <c r="A70" s="444" t="s">
        <v>328</v>
      </c>
      <c r="B70" s="425" t="s">
        <v>298</v>
      </c>
      <c r="C70" s="301"/>
    </row>
    <row r="71" spans="1:3" s="99" customFormat="1" ht="12" customHeight="1" x14ac:dyDescent="0.2">
      <c r="A71" s="445" t="s">
        <v>337</v>
      </c>
      <c r="B71" s="426" t="s">
        <v>299</v>
      </c>
      <c r="C71" s="301"/>
    </row>
    <row r="72" spans="1:3" s="99" customFormat="1" ht="12" customHeight="1" thickBot="1" x14ac:dyDescent="0.25">
      <c r="A72" s="446" t="s">
        <v>338</v>
      </c>
      <c r="B72" s="526" t="s">
        <v>300</v>
      </c>
      <c r="C72" s="301"/>
    </row>
    <row r="73" spans="1:3" s="99" customFormat="1" ht="12" customHeight="1" thickBot="1" x14ac:dyDescent="0.2">
      <c r="A73" s="447" t="s">
        <v>301</v>
      </c>
      <c r="B73" s="291" t="s">
        <v>302</v>
      </c>
      <c r="C73" s="296">
        <f>SUM(C74:C77)</f>
        <v>0</v>
      </c>
    </row>
    <row r="74" spans="1:3" s="99" customFormat="1" ht="12" customHeight="1" x14ac:dyDescent="0.2">
      <c r="A74" s="444" t="s">
        <v>142</v>
      </c>
      <c r="B74" s="425" t="s">
        <v>303</v>
      </c>
      <c r="C74" s="301"/>
    </row>
    <row r="75" spans="1:3" s="99" customFormat="1" ht="12" customHeight="1" x14ac:dyDescent="0.2">
      <c r="A75" s="445" t="s">
        <v>143</v>
      </c>
      <c r="B75" s="426" t="s">
        <v>304</v>
      </c>
      <c r="C75" s="301"/>
    </row>
    <row r="76" spans="1:3" s="99" customFormat="1" ht="12" customHeight="1" x14ac:dyDescent="0.2">
      <c r="A76" s="445" t="s">
        <v>329</v>
      </c>
      <c r="B76" s="426" t="s">
        <v>305</v>
      </c>
      <c r="C76" s="301"/>
    </row>
    <row r="77" spans="1:3" s="99" customFormat="1" ht="12" customHeight="1" thickBot="1" x14ac:dyDescent="0.25">
      <c r="A77" s="446" t="s">
        <v>330</v>
      </c>
      <c r="B77" s="427" t="s">
        <v>306</v>
      </c>
      <c r="C77" s="301"/>
    </row>
    <row r="78" spans="1:3" s="99" customFormat="1" ht="12" customHeight="1" thickBot="1" x14ac:dyDescent="0.2">
      <c r="A78" s="447" t="s">
        <v>307</v>
      </c>
      <c r="B78" s="291" t="s">
        <v>308</v>
      </c>
      <c r="C78" s="296">
        <f>SUM(C79:C80)</f>
        <v>0</v>
      </c>
    </row>
    <row r="79" spans="1:3" s="99" customFormat="1" ht="12" customHeight="1" x14ac:dyDescent="0.2">
      <c r="A79" s="444" t="s">
        <v>331</v>
      </c>
      <c r="B79" s="425" t="s">
        <v>309</v>
      </c>
      <c r="C79" s="301"/>
    </row>
    <row r="80" spans="1:3" s="99" customFormat="1" ht="12" customHeight="1" thickBot="1" x14ac:dyDescent="0.25">
      <c r="A80" s="446" t="s">
        <v>332</v>
      </c>
      <c r="B80" s="427" t="s">
        <v>310</v>
      </c>
      <c r="C80" s="301"/>
    </row>
    <row r="81" spans="1:3" s="98" customFormat="1" ht="12" customHeight="1" thickBot="1" x14ac:dyDescent="0.2">
      <c r="A81" s="447" t="s">
        <v>311</v>
      </c>
      <c r="B81" s="291" t="s">
        <v>312</v>
      </c>
      <c r="C81" s="296">
        <f>SUM(C82:C84)</f>
        <v>0</v>
      </c>
    </row>
    <row r="82" spans="1:3" s="99" customFormat="1" ht="12" customHeight="1" x14ac:dyDescent="0.2">
      <c r="A82" s="444" t="s">
        <v>333</v>
      </c>
      <c r="B82" s="425" t="s">
        <v>313</v>
      </c>
      <c r="C82" s="301"/>
    </row>
    <row r="83" spans="1:3" s="99" customFormat="1" ht="12" customHeight="1" x14ac:dyDescent="0.2">
      <c r="A83" s="445" t="s">
        <v>334</v>
      </c>
      <c r="B83" s="426" t="s">
        <v>314</v>
      </c>
      <c r="C83" s="301"/>
    </row>
    <row r="84" spans="1:3" s="99" customFormat="1" ht="12" customHeight="1" thickBot="1" x14ac:dyDescent="0.25">
      <c r="A84" s="446" t="s">
        <v>335</v>
      </c>
      <c r="B84" s="427" t="s">
        <v>315</v>
      </c>
      <c r="C84" s="301"/>
    </row>
    <row r="85" spans="1:3" s="99" customFormat="1" ht="12" customHeight="1" thickBot="1" x14ac:dyDescent="0.2">
      <c r="A85" s="447" t="s">
        <v>316</v>
      </c>
      <c r="B85" s="291" t="s">
        <v>336</v>
      </c>
      <c r="C85" s="296">
        <f>SUM(C86:C89)</f>
        <v>0</v>
      </c>
    </row>
    <row r="86" spans="1:3" s="99" customFormat="1" ht="12" customHeight="1" x14ac:dyDescent="0.2">
      <c r="A86" s="448" t="s">
        <v>317</v>
      </c>
      <c r="B86" s="425" t="s">
        <v>318</v>
      </c>
      <c r="C86" s="301"/>
    </row>
    <row r="87" spans="1:3" s="99" customFormat="1" ht="12" customHeight="1" x14ac:dyDescent="0.2">
      <c r="A87" s="449" t="s">
        <v>319</v>
      </c>
      <c r="B87" s="426" t="s">
        <v>320</v>
      </c>
      <c r="C87" s="301"/>
    </row>
    <row r="88" spans="1:3" s="99" customFormat="1" ht="12" customHeight="1" x14ac:dyDescent="0.2">
      <c r="A88" s="449" t="s">
        <v>321</v>
      </c>
      <c r="B88" s="426" t="s">
        <v>322</v>
      </c>
      <c r="C88" s="301"/>
    </row>
    <row r="89" spans="1:3" s="98" customFormat="1" ht="12" customHeight="1" thickBot="1" x14ac:dyDescent="0.25">
      <c r="A89" s="450" t="s">
        <v>323</v>
      </c>
      <c r="B89" s="427" t="s">
        <v>324</v>
      </c>
      <c r="C89" s="301"/>
    </row>
    <row r="90" spans="1:3" s="98" customFormat="1" ht="12" customHeight="1" thickBot="1" x14ac:dyDescent="0.2">
      <c r="A90" s="447" t="s">
        <v>325</v>
      </c>
      <c r="B90" s="291" t="s">
        <v>467</v>
      </c>
      <c r="C90" s="471"/>
    </row>
    <row r="91" spans="1:3" s="98" customFormat="1" ht="12" customHeight="1" thickBot="1" x14ac:dyDescent="0.2">
      <c r="A91" s="447" t="s">
        <v>494</v>
      </c>
      <c r="B91" s="291" t="s">
        <v>326</v>
      </c>
      <c r="C91" s="471"/>
    </row>
    <row r="92" spans="1:3" s="98" customFormat="1" ht="12" customHeight="1" thickBot="1" x14ac:dyDescent="0.2">
      <c r="A92" s="447" t="s">
        <v>495</v>
      </c>
      <c r="B92" s="432" t="s">
        <v>470</v>
      </c>
      <c r="C92" s="302">
        <f>+C69+C73+C78+C81+C85+C91+C90</f>
        <v>0</v>
      </c>
    </row>
    <row r="93" spans="1:3" s="98" customFormat="1" ht="12" customHeight="1" thickBot="1" x14ac:dyDescent="0.2">
      <c r="A93" s="451" t="s">
        <v>496</v>
      </c>
      <c r="B93" s="433" t="s">
        <v>497</v>
      </c>
      <c r="C93" s="302">
        <f>+C68+C92</f>
        <v>0</v>
      </c>
    </row>
    <row r="94" spans="1:3" s="99" customFormat="1" ht="15" customHeight="1" thickBot="1" x14ac:dyDescent="0.25">
      <c r="A94" s="249"/>
      <c r="B94" s="250"/>
      <c r="C94" s="366"/>
    </row>
    <row r="95" spans="1:3" s="72" customFormat="1" ht="16.5" customHeight="1" thickBot="1" x14ac:dyDescent="0.25">
      <c r="A95" s="253"/>
      <c r="B95" s="254" t="s">
        <v>54</v>
      </c>
      <c r="C95" s="368"/>
    </row>
    <row r="96" spans="1:3" s="100" customFormat="1" ht="12" customHeight="1" thickBot="1" x14ac:dyDescent="0.25">
      <c r="A96" s="417" t="s">
        <v>15</v>
      </c>
      <c r="B96" s="28" t="s">
        <v>501</v>
      </c>
      <c r="C96" s="295">
        <f>+C97+C98+C99+C100+C101+C114</f>
        <v>0</v>
      </c>
    </row>
    <row r="97" spans="1:3" ht="12" customHeight="1" x14ac:dyDescent="0.2">
      <c r="A97" s="452" t="s">
        <v>92</v>
      </c>
      <c r="B97" s="10" t="s">
        <v>46</v>
      </c>
      <c r="C97" s="297"/>
    </row>
    <row r="98" spans="1:3" ht="12" customHeight="1" x14ac:dyDescent="0.2">
      <c r="A98" s="445" t="s">
        <v>93</v>
      </c>
      <c r="B98" s="8" t="s">
        <v>172</v>
      </c>
      <c r="C98" s="298"/>
    </row>
    <row r="99" spans="1:3" ht="12" customHeight="1" x14ac:dyDescent="0.2">
      <c r="A99" s="445" t="s">
        <v>94</v>
      </c>
      <c r="B99" s="8" t="s">
        <v>134</v>
      </c>
      <c r="C99" s="300"/>
    </row>
    <row r="100" spans="1:3" ht="12" customHeight="1" x14ac:dyDescent="0.2">
      <c r="A100" s="445" t="s">
        <v>95</v>
      </c>
      <c r="B100" s="11" t="s">
        <v>173</v>
      </c>
      <c r="C100" s="300"/>
    </row>
    <row r="101" spans="1:3" ht="12" customHeight="1" x14ac:dyDescent="0.2">
      <c r="A101" s="445" t="s">
        <v>106</v>
      </c>
      <c r="B101" s="19" t="s">
        <v>174</v>
      </c>
      <c r="C101" s="300"/>
    </row>
    <row r="102" spans="1:3" ht="12" customHeight="1" x14ac:dyDescent="0.2">
      <c r="A102" s="445" t="s">
        <v>96</v>
      </c>
      <c r="B102" s="8" t="s">
        <v>498</v>
      </c>
      <c r="C102" s="300"/>
    </row>
    <row r="103" spans="1:3" ht="12" customHeight="1" x14ac:dyDescent="0.2">
      <c r="A103" s="445" t="s">
        <v>97</v>
      </c>
      <c r="B103" s="149" t="s">
        <v>433</v>
      </c>
      <c r="C103" s="300"/>
    </row>
    <row r="104" spans="1:3" ht="12" customHeight="1" x14ac:dyDescent="0.2">
      <c r="A104" s="445" t="s">
        <v>107</v>
      </c>
      <c r="B104" s="149" t="s">
        <v>432</v>
      </c>
      <c r="C104" s="300"/>
    </row>
    <row r="105" spans="1:3" ht="12" customHeight="1" x14ac:dyDescent="0.2">
      <c r="A105" s="445" t="s">
        <v>108</v>
      </c>
      <c r="B105" s="149" t="s">
        <v>342</v>
      </c>
      <c r="C105" s="300"/>
    </row>
    <row r="106" spans="1:3" ht="12" customHeight="1" x14ac:dyDescent="0.2">
      <c r="A106" s="445" t="s">
        <v>109</v>
      </c>
      <c r="B106" s="150" t="s">
        <v>343</v>
      </c>
      <c r="C106" s="300"/>
    </row>
    <row r="107" spans="1:3" ht="12" customHeight="1" x14ac:dyDescent="0.2">
      <c r="A107" s="445" t="s">
        <v>110</v>
      </c>
      <c r="B107" s="150" t="s">
        <v>344</v>
      </c>
      <c r="C107" s="300"/>
    </row>
    <row r="108" spans="1:3" ht="12" customHeight="1" x14ac:dyDescent="0.2">
      <c r="A108" s="445" t="s">
        <v>112</v>
      </c>
      <c r="B108" s="149" t="s">
        <v>345</v>
      </c>
      <c r="C108" s="300"/>
    </row>
    <row r="109" spans="1:3" ht="12" customHeight="1" x14ac:dyDescent="0.2">
      <c r="A109" s="445" t="s">
        <v>175</v>
      </c>
      <c r="B109" s="149" t="s">
        <v>346</v>
      </c>
      <c r="C109" s="300"/>
    </row>
    <row r="110" spans="1:3" ht="12" customHeight="1" x14ac:dyDescent="0.2">
      <c r="A110" s="445" t="s">
        <v>340</v>
      </c>
      <c r="B110" s="150" t="s">
        <v>347</v>
      </c>
      <c r="C110" s="300"/>
    </row>
    <row r="111" spans="1:3" ht="12" customHeight="1" x14ac:dyDescent="0.2">
      <c r="A111" s="453" t="s">
        <v>341</v>
      </c>
      <c r="B111" s="151" t="s">
        <v>348</v>
      </c>
      <c r="C111" s="300"/>
    </row>
    <row r="112" spans="1:3" ht="12" customHeight="1" x14ac:dyDescent="0.2">
      <c r="A112" s="445" t="s">
        <v>430</v>
      </c>
      <c r="B112" s="151" t="s">
        <v>349</v>
      </c>
      <c r="C112" s="300"/>
    </row>
    <row r="113" spans="1:3" ht="12" customHeight="1" x14ac:dyDescent="0.2">
      <c r="A113" s="445" t="s">
        <v>431</v>
      </c>
      <c r="B113" s="150" t="s">
        <v>350</v>
      </c>
      <c r="C113" s="298"/>
    </row>
    <row r="114" spans="1:3" ht="12" customHeight="1" x14ac:dyDescent="0.2">
      <c r="A114" s="445" t="s">
        <v>435</v>
      </c>
      <c r="B114" s="11" t="s">
        <v>47</v>
      </c>
      <c r="C114" s="298"/>
    </row>
    <row r="115" spans="1:3" ht="12" customHeight="1" x14ac:dyDescent="0.2">
      <c r="A115" s="446" t="s">
        <v>436</v>
      </c>
      <c r="B115" s="8" t="s">
        <v>499</v>
      </c>
      <c r="C115" s="300"/>
    </row>
    <row r="116" spans="1:3" ht="12" customHeight="1" thickBot="1" x14ac:dyDescent="0.25">
      <c r="A116" s="454" t="s">
        <v>437</v>
      </c>
      <c r="B116" s="152" t="s">
        <v>500</v>
      </c>
      <c r="C116" s="304"/>
    </row>
    <row r="117" spans="1:3" ht="12" customHeight="1" thickBot="1" x14ac:dyDescent="0.25">
      <c r="A117" s="33" t="s">
        <v>16</v>
      </c>
      <c r="B117" s="27" t="s">
        <v>351</v>
      </c>
      <c r="C117" s="296">
        <f>+C118+C120+C122</f>
        <v>0</v>
      </c>
    </row>
    <row r="118" spans="1:3" ht="12" customHeight="1" x14ac:dyDescent="0.2">
      <c r="A118" s="444" t="s">
        <v>98</v>
      </c>
      <c r="B118" s="8" t="s">
        <v>214</v>
      </c>
      <c r="C118" s="299"/>
    </row>
    <row r="119" spans="1:3" ht="12" customHeight="1" x14ac:dyDescent="0.2">
      <c r="A119" s="444" t="s">
        <v>99</v>
      </c>
      <c r="B119" s="12" t="s">
        <v>355</v>
      </c>
      <c r="C119" s="299"/>
    </row>
    <row r="120" spans="1:3" ht="12" customHeight="1" x14ac:dyDescent="0.2">
      <c r="A120" s="444" t="s">
        <v>100</v>
      </c>
      <c r="B120" s="12" t="s">
        <v>176</v>
      </c>
      <c r="C120" s="298"/>
    </row>
    <row r="121" spans="1:3" ht="12" customHeight="1" x14ac:dyDescent="0.2">
      <c r="A121" s="444" t="s">
        <v>101</v>
      </c>
      <c r="B121" s="12" t="s">
        <v>356</v>
      </c>
      <c r="C121" s="279"/>
    </row>
    <row r="122" spans="1:3" ht="12" customHeight="1" x14ac:dyDescent="0.2">
      <c r="A122" s="444" t="s">
        <v>102</v>
      </c>
      <c r="B122" s="293" t="s">
        <v>217</v>
      </c>
      <c r="C122" s="279"/>
    </row>
    <row r="123" spans="1:3" ht="12" customHeight="1" x14ac:dyDescent="0.2">
      <c r="A123" s="444" t="s">
        <v>111</v>
      </c>
      <c r="B123" s="292" t="s">
        <v>420</v>
      </c>
      <c r="C123" s="279"/>
    </row>
    <row r="124" spans="1:3" ht="12" customHeight="1" x14ac:dyDescent="0.2">
      <c r="A124" s="444" t="s">
        <v>113</v>
      </c>
      <c r="B124" s="421" t="s">
        <v>361</v>
      </c>
      <c r="C124" s="279"/>
    </row>
    <row r="125" spans="1:3" ht="12" customHeight="1" x14ac:dyDescent="0.2">
      <c r="A125" s="444" t="s">
        <v>177</v>
      </c>
      <c r="B125" s="150" t="s">
        <v>344</v>
      </c>
      <c r="C125" s="279"/>
    </row>
    <row r="126" spans="1:3" ht="12" customHeight="1" x14ac:dyDescent="0.2">
      <c r="A126" s="444" t="s">
        <v>178</v>
      </c>
      <c r="B126" s="150" t="s">
        <v>360</v>
      </c>
      <c r="C126" s="279"/>
    </row>
    <row r="127" spans="1:3" ht="12" customHeight="1" x14ac:dyDescent="0.2">
      <c r="A127" s="444" t="s">
        <v>179</v>
      </c>
      <c r="B127" s="150" t="s">
        <v>359</v>
      </c>
      <c r="C127" s="279"/>
    </row>
    <row r="128" spans="1:3" ht="12" customHeight="1" x14ac:dyDescent="0.2">
      <c r="A128" s="444" t="s">
        <v>352</v>
      </c>
      <c r="B128" s="150" t="s">
        <v>347</v>
      </c>
      <c r="C128" s="279"/>
    </row>
    <row r="129" spans="1:11" ht="12" customHeight="1" x14ac:dyDescent="0.2">
      <c r="A129" s="444" t="s">
        <v>353</v>
      </c>
      <c r="B129" s="150" t="s">
        <v>358</v>
      </c>
      <c r="C129" s="279"/>
    </row>
    <row r="130" spans="1:11" ht="12" customHeight="1" thickBot="1" x14ac:dyDescent="0.25">
      <c r="A130" s="453" t="s">
        <v>354</v>
      </c>
      <c r="B130" s="150" t="s">
        <v>357</v>
      </c>
      <c r="C130" s="281"/>
    </row>
    <row r="131" spans="1:11" ht="12" customHeight="1" thickBot="1" x14ac:dyDescent="0.25">
      <c r="A131" s="33" t="s">
        <v>17</v>
      </c>
      <c r="B131" s="132" t="s">
        <v>440</v>
      </c>
      <c r="C131" s="296">
        <f>+C96+C117</f>
        <v>0</v>
      </c>
    </row>
    <row r="132" spans="1:11" ht="12" customHeight="1" thickBot="1" x14ac:dyDescent="0.25">
      <c r="A132" s="33" t="s">
        <v>18</v>
      </c>
      <c r="B132" s="132" t="s">
        <v>441</v>
      </c>
      <c r="C132" s="296">
        <f>+C133+C134+C135</f>
        <v>0</v>
      </c>
    </row>
    <row r="133" spans="1:11" s="100" customFormat="1" ht="12" customHeight="1" x14ac:dyDescent="0.2">
      <c r="A133" s="444" t="s">
        <v>256</v>
      </c>
      <c r="B133" s="9" t="s">
        <v>504</v>
      </c>
      <c r="C133" s="279"/>
    </row>
    <row r="134" spans="1:11" ht="12" customHeight="1" x14ac:dyDescent="0.2">
      <c r="A134" s="444" t="s">
        <v>257</v>
      </c>
      <c r="B134" s="9" t="s">
        <v>449</v>
      </c>
      <c r="C134" s="279"/>
    </row>
    <row r="135" spans="1:11" ht="12" customHeight="1" thickBot="1" x14ac:dyDescent="0.25">
      <c r="A135" s="453" t="s">
        <v>258</v>
      </c>
      <c r="B135" s="7" t="s">
        <v>503</v>
      </c>
      <c r="C135" s="279"/>
    </row>
    <row r="136" spans="1:11" ht="12" customHeight="1" thickBot="1" x14ac:dyDescent="0.25">
      <c r="A136" s="33" t="s">
        <v>19</v>
      </c>
      <c r="B136" s="132" t="s">
        <v>442</v>
      </c>
      <c r="C136" s="296">
        <f>+C137+C138+C139+C140+C141+C142</f>
        <v>0</v>
      </c>
    </row>
    <row r="137" spans="1:11" ht="12" customHeight="1" x14ac:dyDescent="0.2">
      <c r="A137" s="444" t="s">
        <v>85</v>
      </c>
      <c r="B137" s="9" t="s">
        <v>451</v>
      </c>
      <c r="C137" s="279"/>
    </row>
    <row r="138" spans="1:11" ht="12" customHeight="1" x14ac:dyDescent="0.2">
      <c r="A138" s="444" t="s">
        <v>86</v>
      </c>
      <c r="B138" s="9" t="s">
        <v>443</v>
      </c>
      <c r="C138" s="279"/>
    </row>
    <row r="139" spans="1:11" ht="12" customHeight="1" x14ac:dyDescent="0.2">
      <c r="A139" s="444" t="s">
        <v>87</v>
      </c>
      <c r="B139" s="9" t="s">
        <v>444</v>
      </c>
      <c r="C139" s="279"/>
    </row>
    <row r="140" spans="1:11" ht="12" customHeight="1" x14ac:dyDescent="0.2">
      <c r="A140" s="444" t="s">
        <v>164</v>
      </c>
      <c r="B140" s="9" t="s">
        <v>502</v>
      </c>
      <c r="C140" s="279"/>
    </row>
    <row r="141" spans="1:11" ht="12" customHeight="1" x14ac:dyDescent="0.2">
      <c r="A141" s="444" t="s">
        <v>165</v>
      </c>
      <c r="B141" s="9" t="s">
        <v>446</v>
      </c>
      <c r="C141" s="279"/>
    </row>
    <row r="142" spans="1:11" s="100" customFormat="1" ht="12" customHeight="1" thickBot="1" x14ac:dyDescent="0.25">
      <c r="A142" s="453" t="s">
        <v>166</v>
      </c>
      <c r="B142" s="7" t="s">
        <v>447</v>
      </c>
      <c r="C142" s="279"/>
    </row>
    <row r="143" spans="1:11" ht="12" customHeight="1" thickBot="1" x14ac:dyDescent="0.25">
      <c r="A143" s="33" t="s">
        <v>20</v>
      </c>
      <c r="B143" s="132" t="s">
        <v>529</v>
      </c>
      <c r="C143" s="302">
        <f>+C144+C145+C147+C148+C146</f>
        <v>0</v>
      </c>
      <c r="K143" s="261"/>
    </row>
    <row r="144" spans="1:11" x14ac:dyDescent="0.2">
      <c r="A144" s="444" t="s">
        <v>88</v>
      </c>
      <c r="B144" s="9" t="s">
        <v>362</v>
      </c>
      <c r="C144" s="279"/>
    </row>
    <row r="145" spans="1:3" ht="12" customHeight="1" x14ac:dyDescent="0.2">
      <c r="A145" s="444" t="s">
        <v>89</v>
      </c>
      <c r="B145" s="9" t="s">
        <v>363</v>
      </c>
      <c r="C145" s="279"/>
    </row>
    <row r="146" spans="1:3" s="100" customFormat="1" ht="12" customHeight="1" x14ac:dyDescent="0.2">
      <c r="A146" s="444" t="s">
        <v>276</v>
      </c>
      <c r="B146" s="9" t="s">
        <v>528</v>
      </c>
      <c r="C146" s="279"/>
    </row>
    <row r="147" spans="1:3" s="100" customFormat="1" ht="12" customHeight="1" x14ac:dyDescent="0.2">
      <c r="A147" s="444" t="s">
        <v>277</v>
      </c>
      <c r="B147" s="9" t="s">
        <v>456</v>
      </c>
      <c r="C147" s="279"/>
    </row>
    <row r="148" spans="1:3" s="100" customFormat="1" ht="12" customHeight="1" thickBot="1" x14ac:dyDescent="0.25">
      <c r="A148" s="453" t="s">
        <v>278</v>
      </c>
      <c r="B148" s="7" t="s">
        <v>382</v>
      </c>
      <c r="C148" s="279"/>
    </row>
    <row r="149" spans="1:3" s="100" customFormat="1" ht="12" customHeight="1" thickBot="1" x14ac:dyDescent="0.25">
      <c r="A149" s="33" t="s">
        <v>21</v>
      </c>
      <c r="B149" s="132" t="s">
        <v>457</v>
      </c>
      <c r="C149" s="305">
        <f>+C150+C151+C152+C153+C154</f>
        <v>0</v>
      </c>
    </row>
    <row r="150" spans="1:3" s="100" customFormat="1" ht="12" customHeight="1" x14ac:dyDescent="0.2">
      <c r="A150" s="444" t="s">
        <v>90</v>
      </c>
      <c r="B150" s="9" t="s">
        <v>452</v>
      </c>
      <c r="C150" s="279"/>
    </row>
    <row r="151" spans="1:3" s="100" customFormat="1" ht="12" customHeight="1" x14ac:dyDescent="0.2">
      <c r="A151" s="444" t="s">
        <v>91</v>
      </c>
      <c r="B151" s="9" t="s">
        <v>459</v>
      </c>
      <c r="C151" s="279"/>
    </row>
    <row r="152" spans="1:3" s="100" customFormat="1" ht="12" customHeight="1" x14ac:dyDescent="0.2">
      <c r="A152" s="444" t="s">
        <v>288</v>
      </c>
      <c r="B152" s="9" t="s">
        <v>454</v>
      </c>
      <c r="C152" s="279"/>
    </row>
    <row r="153" spans="1:3" ht="12.75" customHeight="1" x14ac:dyDescent="0.2">
      <c r="A153" s="444" t="s">
        <v>289</v>
      </c>
      <c r="B153" s="9" t="s">
        <v>505</v>
      </c>
      <c r="C153" s="279"/>
    </row>
    <row r="154" spans="1:3" ht="12.75" customHeight="1" thickBot="1" x14ac:dyDescent="0.25">
      <c r="A154" s="453" t="s">
        <v>458</v>
      </c>
      <c r="B154" s="7" t="s">
        <v>461</v>
      </c>
      <c r="C154" s="281"/>
    </row>
    <row r="155" spans="1:3" ht="12.75" customHeight="1" thickBot="1" x14ac:dyDescent="0.25">
      <c r="A155" s="497" t="s">
        <v>22</v>
      </c>
      <c r="B155" s="132" t="s">
        <v>462</v>
      </c>
      <c r="C155" s="305"/>
    </row>
    <row r="156" spans="1:3" ht="12" customHeight="1" thickBot="1" x14ac:dyDescent="0.25">
      <c r="A156" s="497" t="s">
        <v>23</v>
      </c>
      <c r="B156" s="132" t="s">
        <v>463</v>
      </c>
      <c r="C156" s="305"/>
    </row>
    <row r="157" spans="1:3" ht="15" customHeight="1" thickBot="1" x14ac:dyDescent="0.25">
      <c r="A157" s="33" t="s">
        <v>24</v>
      </c>
      <c r="B157" s="132" t="s">
        <v>465</v>
      </c>
      <c r="C157" s="435">
        <f>+C132+C136+C143+C149+C155+C156</f>
        <v>0</v>
      </c>
    </row>
    <row r="158" spans="1:3" ht="13.5" thickBot="1" x14ac:dyDescent="0.25">
      <c r="A158" s="455" t="s">
        <v>25</v>
      </c>
      <c r="B158" s="387" t="s">
        <v>464</v>
      </c>
      <c r="C158" s="435">
        <f>+C131+C157</f>
        <v>0</v>
      </c>
    </row>
    <row r="159" spans="1:3" ht="15" customHeight="1" thickBot="1" x14ac:dyDescent="0.25">
      <c r="A159" s="395"/>
      <c r="B159" s="396"/>
      <c r="C159" s="397"/>
    </row>
    <row r="160" spans="1:3" ht="14.25" customHeight="1" thickBot="1" x14ac:dyDescent="0.25">
      <c r="A160" s="258" t="s">
        <v>506</v>
      </c>
      <c r="B160" s="259"/>
      <c r="C160" s="129"/>
    </row>
    <row r="161" spans="1:3" ht="13.5" thickBot="1" x14ac:dyDescent="0.25">
      <c r="A161" s="258" t="s">
        <v>195</v>
      </c>
      <c r="B161" s="259"/>
      <c r="C1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31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381000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300000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81000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0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431000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141949832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0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141949832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142380832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142280832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110604077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20662055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11014700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100000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100000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142380832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24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2"/>
  <sheetViews>
    <sheetView tabSelected="1" zoomScale="130" zoomScaleNormal="130" zoomScaleSheetLayoutView="100" workbookViewId="0">
      <selection activeCell="B10" sqref="B10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0" t="s">
        <v>12</v>
      </c>
      <c r="B1" s="670"/>
      <c r="C1" s="670"/>
    </row>
    <row r="2" spans="1:3" ht="15.95" customHeight="1" thickBot="1" x14ac:dyDescent="0.3">
      <c r="A2" s="671" t="s">
        <v>145</v>
      </c>
      <c r="B2" s="671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2020.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+C6+C7+C10+C11+C12+C13</f>
        <v>532738838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209740590</v>
      </c>
    </row>
    <row r="7" spans="1:3" s="424" customFormat="1" ht="12" customHeight="1" x14ac:dyDescent="0.2">
      <c r="A7" s="14" t="s">
        <v>93</v>
      </c>
      <c r="B7" s="426" t="s">
        <v>710</v>
      </c>
      <c r="C7" s="299">
        <f>'9.1. sz. mell ÖNK'!C10</f>
        <v>74292320</v>
      </c>
    </row>
    <row r="8" spans="1:3" s="424" customFormat="1" ht="12" customHeight="1" x14ac:dyDescent="0.2">
      <c r="A8" s="14" t="s">
        <v>712</v>
      </c>
      <c r="B8" s="426" t="s">
        <v>708</v>
      </c>
      <c r="C8" s="299">
        <f>'9.1. sz. mell ÖNK'!C11</f>
        <v>110495468</v>
      </c>
    </row>
    <row r="9" spans="1:3" s="424" customFormat="1" ht="12" customHeight="1" x14ac:dyDescent="0.2">
      <c r="A9" s="14" t="s">
        <v>713</v>
      </c>
      <c r="B9" s="426" t="s">
        <v>709</v>
      </c>
      <c r="C9" s="299">
        <f>'9.1. sz. mell ÖNK'!C12</f>
        <v>85970896</v>
      </c>
    </row>
    <row r="10" spans="1:3" s="424" customFormat="1" ht="12" customHeight="1" x14ac:dyDescent="0.2">
      <c r="A10" s="14" t="s">
        <v>94</v>
      </c>
      <c r="B10" s="426" t="s">
        <v>714</v>
      </c>
      <c r="C10" s="299">
        <f>'9.1. sz. mell ÖNK'!C13</f>
        <v>196466364</v>
      </c>
    </row>
    <row r="11" spans="1:3" s="424" customFormat="1" ht="12" customHeight="1" x14ac:dyDescent="0.2">
      <c r="A11" s="14" t="s">
        <v>95</v>
      </c>
      <c r="B11" s="426" t="s">
        <v>711</v>
      </c>
      <c r="C11" s="299">
        <f>'9.1. sz. mell ÖNK'!C14</f>
        <v>8673183</v>
      </c>
    </row>
    <row r="12" spans="1:3" s="424" customFormat="1" ht="12" customHeight="1" x14ac:dyDescent="0.2">
      <c r="A12" s="14" t="s">
        <v>141</v>
      </c>
      <c r="B12" s="292" t="s">
        <v>424</v>
      </c>
      <c r="C12" s="299">
        <f>'9.1. sz. mell ÖNK'!C15</f>
        <v>43566381</v>
      </c>
    </row>
    <row r="13" spans="1:3" s="424" customFormat="1" ht="12" customHeight="1" thickBot="1" x14ac:dyDescent="0.25">
      <c r="A13" s="16" t="s">
        <v>96</v>
      </c>
      <c r="B13" s="293" t="s">
        <v>425</v>
      </c>
      <c r="C13" s="299">
        <f>'9.1. sz. mell ÖNK'!C16</f>
        <v>0</v>
      </c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150594249</v>
      </c>
    </row>
    <row r="15" spans="1:3" s="424" customFormat="1" ht="12" customHeight="1" x14ac:dyDescent="0.2">
      <c r="A15" s="15" t="s">
        <v>98</v>
      </c>
      <c r="B15" s="425" t="s">
        <v>246</v>
      </c>
      <c r="C15" s="299">
        <f>'9.1. sz. mell ÖNK'!C18</f>
        <v>0</v>
      </c>
    </row>
    <row r="16" spans="1:3" s="424" customFormat="1" ht="12" customHeight="1" x14ac:dyDescent="0.2">
      <c r="A16" s="14" t="s">
        <v>99</v>
      </c>
      <c r="B16" s="426" t="s">
        <v>247</v>
      </c>
      <c r="C16" s="299">
        <f>'9.1. sz. mell ÖNK'!C19</f>
        <v>0</v>
      </c>
    </row>
    <row r="17" spans="1:3" s="424" customFormat="1" ht="12" customHeight="1" x14ac:dyDescent="0.2">
      <c r="A17" s="14" t="s">
        <v>100</v>
      </c>
      <c r="B17" s="426" t="s">
        <v>414</v>
      </c>
      <c r="C17" s="299">
        <f>'9.1. sz. mell ÖNK'!C20</f>
        <v>0</v>
      </c>
    </row>
    <row r="18" spans="1:3" s="424" customFormat="1" ht="12" customHeight="1" x14ac:dyDescent="0.2">
      <c r="A18" s="14" t="s">
        <v>101</v>
      </c>
      <c r="B18" s="426" t="s">
        <v>415</v>
      </c>
      <c r="C18" s="299">
        <f>'9.1. sz. mell ÖNK'!C21</f>
        <v>0</v>
      </c>
    </row>
    <row r="19" spans="1:3" s="424" customFormat="1" ht="12" customHeight="1" x14ac:dyDescent="0.2">
      <c r="A19" s="14" t="s">
        <v>102</v>
      </c>
      <c r="B19" s="426" t="s">
        <v>248</v>
      </c>
      <c r="C19" s="299">
        <f>'9.1. sz. mell ÖNK'!C22+'9.4. sz. mell ILMKS'!C23+'9.3. sz. mell GAM'!C23+'9.2. sz. mell HIV'!C23</f>
        <v>150594249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299">
        <f>'9.1. sz. mell ÖNK'!C23</f>
        <v>0</v>
      </c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369130289</v>
      </c>
    </row>
    <row r="22" spans="1:3" s="424" customFormat="1" ht="12" customHeight="1" x14ac:dyDescent="0.2">
      <c r="A22" s="15" t="s">
        <v>81</v>
      </c>
      <c r="B22" s="425" t="s">
        <v>251</v>
      </c>
      <c r="C22" s="299">
        <f>'9.1. sz. mell ÖNK'!C25</f>
        <v>0</v>
      </c>
    </row>
    <row r="23" spans="1:3" s="424" customFormat="1" ht="12" customHeight="1" x14ac:dyDescent="0.2">
      <c r="A23" s="14" t="s">
        <v>82</v>
      </c>
      <c r="B23" s="426" t="s">
        <v>252</v>
      </c>
      <c r="C23" s="299">
        <f>'9.1. sz. mell ÖNK'!C26</f>
        <v>0</v>
      </c>
    </row>
    <row r="24" spans="1:3" s="424" customFormat="1" ht="12" customHeight="1" x14ac:dyDescent="0.2">
      <c r="A24" s="14" t="s">
        <v>83</v>
      </c>
      <c r="B24" s="426" t="s">
        <v>416</v>
      </c>
      <c r="C24" s="299">
        <f>'9.1. sz. mell ÖNK'!C27</f>
        <v>0</v>
      </c>
    </row>
    <row r="25" spans="1:3" s="424" customFormat="1" ht="12" customHeight="1" x14ac:dyDescent="0.2">
      <c r="A25" s="14" t="s">
        <v>84</v>
      </c>
      <c r="B25" s="426" t="s">
        <v>417</v>
      </c>
      <c r="C25" s="299">
        <f>'9.1. sz. mell ÖNK'!C28</f>
        <v>0</v>
      </c>
    </row>
    <row r="26" spans="1:3" s="424" customFormat="1" ht="12" customHeight="1" x14ac:dyDescent="0.2">
      <c r="A26" s="14" t="s">
        <v>160</v>
      </c>
      <c r="B26" s="426" t="s">
        <v>253</v>
      </c>
      <c r="C26" s="299">
        <f>'9.1. sz. mell ÖNK'!C29+'9.4. sz. mell ILMKS'!C28</f>
        <v>369130289</v>
      </c>
    </row>
    <row r="27" spans="1:3" s="424" customFormat="1" ht="12" customHeight="1" thickBot="1" x14ac:dyDescent="0.25">
      <c r="A27" s="16" t="s">
        <v>161</v>
      </c>
      <c r="B27" s="427" t="s">
        <v>254</v>
      </c>
      <c r="C27" s="299">
        <f>'9.1. sz. mell ÖNK'!C30</f>
        <v>0</v>
      </c>
    </row>
    <row r="28" spans="1:3" s="424" customFormat="1" ht="12" customHeight="1" thickBot="1" x14ac:dyDescent="0.25">
      <c r="A28" s="20" t="s">
        <v>162</v>
      </c>
      <c r="B28" s="21" t="s">
        <v>538</v>
      </c>
      <c r="C28" s="302">
        <f>SUM(C29:C36)+'9.2. sz. mell HIV'!C25</f>
        <v>145765000</v>
      </c>
    </row>
    <row r="29" spans="1:3" s="424" customFormat="1" ht="12" customHeight="1" x14ac:dyDescent="0.2">
      <c r="A29" s="15" t="s">
        <v>256</v>
      </c>
      <c r="B29" s="425" t="s">
        <v>542</v>
      </c>
      <c r="C29" s="299">
        <f>'9.1. sz. mell ÖNK'!C32</f>
        <v>0</v>
      </c>
    </row>
    <row r="30" spans="1:3" s="424" customFormat="1" ht="12" customHeight="1" x14ac:dyDescent="0.2">
      <c r="A30" s="14" t="s">
        <v>257</v>
      </c>
      <c r="B30" s="426" t="s">
        <v>543</v>
      </c>
      <c r="C30" s="299">
        <f>'9.1. sz. mell ÖNK'!C33</f>
        <v>15000</v>
      </c>
    </row>
    <row r="31" spans="1:3" s="424" customFormat="1" ht="12" customHeight="1" x14ac:dyDescent="0.2">
      <c r="A31" s="14" t="s">
        <v>258</v>
      </c>
      <c r="B31" s="426" t="s">
        <v>618</v>
      </c>
      <c r="C31" s="299">
        <f>'9.1. sz. mell ÖNK'!C34</f>
        <v>16500000</v>
      </c>
    </row>
    <row r="32" spans="1:3" s="424" customFormat="1" ht="12" customHeight="1" x14ac:dyDescent="0.2">
      <c r="A32" s="14" t="s">
        <v>259</v>
      </c>
      <c r="B32" s="426" t="s">
        <v>544</v>
      </c>
      <c r="C32" s="299">
        <f>'9.1. sz. mell ÖNK'!C35</f>
        <v>109000000</v>
      </c>
    </row>
    <row r="33" spans="1:3" s="424" customFormat="1" ht="12" customHeight="1" x14ac:dyDescent="0.2">
      <c r="A33" s="14" t="s">
        <v>539</v>
      </c>
      <c r="B33" s="426" t="s">
        <v>545</v>
      </c>
      <c r="C33" s="299">
        <f>'9.1. sz. mell ÖNK'!C36</f>
        <v>100000</v>
      </c>
    </row>
    <row r="34" spans="1:3" s="424" customFormat="1" ht="12" customHeight="1" x14ac:dyDescent="0.2">
      <c r="A34" s="14" t="s">
        <v>540</v>
      </c>
      <c r="B34" s="426" t="s">
        <v>260</v>
      </c>
      <c r="C34" s="299">
        <f>'9.1. sz. mell ÖNK'!C37</f>
        <v>16800000</v>
      </c>
    </row>
    <row r="35" spans="1:3" s="424" customFormat="1" ht="12" customHeight="1" x14ac:dyDescent="0.2">
      <c r="A35" s="16" t="s">
        <v>541</v>
      </c>
      <c r="B35" s="426" t="s">
        <v>261</v>
      </c>
      <c r="C35" s="299">
        <f>'9.1. sz. mell ÖNK'!C38</f>
        <v>0</v>
      </c>
    </row>
    <row r="36" spans="1:3" s="424" customFormat="1" ht="12" customHeight="1" thickBot="1" x14ac:dyDescent="0.25">
      <c r="A36" s="16" t="s">
        <v>619</v>
      </c>
      <c r="B36" s="522" t="s">
        <v>262</v>
      </c>
      <c r="C36" s="299">
        <f>'9.1. sz. mell ÖNK'!C39</f>
        <v>3300000</v>
      </c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98378802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'9.1. sz. mell ÖNK'!C41+'9.2. sz. mell HIV'!C9+'9.3. sz. mell GAM'!C9+'9.4. sz. mell ILMKS'!C9+'9.5. sz. mell OVI'!C9</f>
        <v>2935362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'9.1. sz. mell ÖNK'!C42+'9.2. sz. mell HIV'!C10+'9.3. sz. mell GAM'!C10+'9.4. sz. mell ILMKS'!C10+'9.5. sz. mell OVI'!C10</f>
        <v>69428407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'9.1. sz. mell ÖNK'!C43+'9.2. sz. mell HIV'!C11+'9.3. sz. mell GAM'!C11+'9.4. sz. mell ILMKS'!C11+'9.5. sz. mell OVI'!C11</f>
        <v>3400000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'9.1. sz. mell ÖNK'!C44+'9.2. sz. mell HIV'!C12+'9.3. sz. mell GAM'!C12+'9.4. sz. mell ILMKS'!C12+'9.5. sz. mell OVI'!C12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'9.1. sz. mell ÖNK'!C45+'9.2. sz. mell HIV'!C13+'9.3. sz. mell GAM'!C13+'9.4. sz. mell ILMKS'!C13+'9.5. sz. mell OVI'!C13</f>
        <v>6540490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'9.1. sz. mell ÖNK'!C46+'9.2. sz. mell HIV'!C14+'9.3. sz. mell GAM'!C14+'9.4. sz. mell ILMKS'!C14+'9.5. sz. mell OVI'!C14</f>
        <v>16074543</v>
      </c>
    </row>
    <row r="44" spans="1:3" s="424" customFormat="1" ht="12" customHeight="1" x14ac:dyDescent="0.2">
      <c r="A44" s="14" t="s">
        <v>167</v>
      </c>
      <c r="B44" s="426" t="s">
        <v>271</v>
      </c>
      <c r="C44" s="299">
        <f>'9.1. sz. mell ÖNK'!C47+'9.2. sz. mell HIV'!C15+'9.3. sz. mell GAM'!C15+'9.4. sz. mell ILMKS'!C15+'9.5. sz. mell OVI'!C15</f>
        <v>0</v>
      </c>
    </row>
    <row r="45" spans="1:3" s="424" customFormat="1" ht="12" customHeight="1" x14ac:dyDescent="0.2">
      <c r="A45" s="14" t="s">
        <v>168</v>
      </c>
      <c r="B45" s="426" t="s">
        <v>546</v>
      </c>
      <c r="C45" s="299">
        <f>'9.1. sz. mell ÖNK'!C48+'9.2. sz. mell HIV'!C16+'9.3. sz. mell GAM'!C16+'9.4. sz. mell ILMKS'!C16+'9.5. sz. mell OVI'!C16</f>
        <v>0</v>
      </c>
    </row>
    <row r="46" spans="1:3" s="424" customFormat="1" ht="12" customHeight="1" x14ac:dyDescent="0.2">
      <c r="A46" s="14" t="s">
        <v>263</v>
      </c>
      <c r="B46" s="426" t="s">
        <v>273</v>
      </c>
      <c r="C46" s="299">
        <f>'9.1. sz. mell ÖNK'!C49+'9.2. sz. mell HIV'!C17+'9.3. sz. mell GAM'!C17+'9.4. sz. mell ILMKS'!C17+'9.5. sz. mell OVI'!C17</f>
        <v>0</v>
      </c>
    </row>
    <row r="47" spans="1:3" s="424" customFormat="1" ht="12" customHeight="1" x14ac:dyDescent="0.2">
      <c r="A47" s="16" t="s">
        <v>264</v>
      </c>
      <c r="B47" s="427" t="s">
        <v>428</v>
      </c>
      <c r="C47" s="299">
        <f>'9.1. sz. mell ÖNK'!C50+'9.2. sz. mell HIV'!C18+'9.3. sz. mell GAM'!C18+'9.4. sz. mell ILMKS'!C18+'9.5. sz. mell OVI'!C18</f>
        <v>0</v>
      </c>
    </row>
    <row r="48" spans="1:3" s="424" customFormat="1" ht="12" customHeight="1" thickBot="1" x14ac:dyDescent="0.25">
      <c r="A48" s="16" t="s">
        <v>427</v>
      </c>
      <c r="B48" s="293" t="s">
        <v>274</v>
      </c>
      <c r="C48" s="299">
        <f>'9.1. sz. mell ÖNK'!C51+'9.2. sz. mell HIV'!C19+'9.3. sz. mell GAM'!C19+'9.4. sz. mell ILMKS'!C19+'9.5. sz. mell OVI'!C19</f>
        <v>0</v>
      </c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10200000</v>
      </c>
    </row>
    <row r="50" spans="1:3" s="424" customFormat="1" ht="12" customHeight="1" x14ac:dyDescent="0.2">
      <c r="A50" s="15" t="s">
        <v>88</v>
      </c>
      <c r="B50" s="425" t="s">
        <v>279</v>
      </c>
      <c r="C50" s="470">
        <f>'9.1. sz. mell ÖNK'!C53</f>
        <v>0</v>
      </c>
    </row>
    <row r="51" spans="1:3" s="424" customFormat="1" ht="12" customHeight="1" x14ac:dyDescent="0.2">
      <c r="A51" s="14" t="s">
        <v>89</v>
      </c>
      <c r="B51" s="426" t="s">
        <v>280</v>
      </c>
      <c r="C51" s="470">
        <f>'9.1. sz. mell ÖNK'!C54</f>
        <v>10200000</v>
      </c>
    </row>
    <row r="52" spans="1:3" s="424" customFormat="1" ht="12" customHeight="1" x14ac:dyDescent="0.2">
      <c r="A52" s="14" t="s">
        <v>276</v>
      </c>
      <c r="B52" s="426" t="s">
        <v>281</v>
      </c>
      <c r="C52" s="470">
        <f>'9.1. sz. mell ÖNK'!C55</f>
        <v>0</v>
      </c>
    </row>
    <row r="53" spans="1:3" s="424" customFormat="1" ht="12" customHeight="1" x14ac:dyDescent="0.2">
      <c r="A53" s="14" t="s">
        <v>277</v>
      </c>
      <c r="B53" s="426" t="s">
        <v>282</v>
      </c>
      <c r="C53" s="470">
        <f>'9.1. sz. mell ÖNK'!C56</f>
        <v>0</v>
      </c>
    </row>
    <row r="54" spans="1:3" s="424" customFormat="1" ht="12" customHeight="1" thickBot="1" x14ac:dyDescent="0.25">
      <c r="A54" s="16" t="s">
        <v>278</v>
      </c>
      <c r="B54" s="293" t="s">
        <v>283</v>
      </c>
      <c r="C54" s="470">
        <f>'9.1. sz. mell ÖNK'!C57</f>
        <v>0</v>
      </c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>
        <f>'9.1. sz. mell ÖNK'!C59</f>
        <v>0</v>
      </c>
    </row>
    <row r="57" spans="1:3" s="424" customFormat="1" ht="12" customHeight="1" x14ac:dyDescent="0.2">
      <c r="A57" s="14" t="s">
        <v>91</v>
      </c>
      <c r="B57" s="426" t="s">
        <v>418</v>
      </c>
      <c r="C57" s="299">
        <f>'9.1. sz. mell ÖNK'!C60</f>
        <v>0</v>
      </c>
    </row>
    <row r="58" spans="1:3" s="424" customFormat="1" ht="12" customHeight="1" x14ac:dyDescent="0.2">
      <c r="A58" s="14" t="s">
        <v>288</v>
      </c>
      <c r="B58" s="426" t="s">
        <v>286</v>
      </c>
      <c r="C58" s="299">
        <f>'9.1. sz. mell ÖNK'!C61</f>
        <v>0</v>
      </c>
    </row>
    <row r="59" spans="1:3" s="424" customFormat="1" ht="12" customHeight="1" thickBot="1" x14ac:dyDescent="0.25">
      <c r="A59" s="16" t="s">
        <v>289</v>
      </c>
      <c r="B59" s="293" t="s">
        <v>287</v>
      </c>
      <c r="C59" s="299">
        <f>'9.1. sz. mell ÖNK'!C62</f>
        <v>0</v>
      </c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>
        <f>'9.1. sz. mell ÖNK'!C64</f>
        <v>0</v>
      </c>
    </row>
    <row r="62" spans="1:3" s="424" customFormat="1" ht="12" customHeight="1" x14ac:dyDescent="0.2">
      <c r="A62" s="14" t="s">
        <v>171</v>
      </c>
      <c r="B62" s="426" t="s">
        <v>419</v>
      </c>
      <c r="C62" s="301">
        <f>'9.1. sz. mell ÖNK'!C65</f>
        <v>0</v>
      </c>
    </row>
    <row r="63" spans="1:3" s="424" customFormat="1" ht="12" customHeight="1" x14ac:dyDescent="0.2">
      <c r="A63" s="14" t="s">
        <v>216</v>
      </c>
      <c r="B63" s="426" t="s">
        <v>293</v>
      </c>
      <c r="C63" s="301">
        <f>'9.1. sz. mell ÖNK'!C66</f>
        <v>0</v>
      </c>
    </row>
    <row r="64" spans="1:3" s="424" customFormat="1" ht="12" customHeight="1" thickBot="1" x14ac:dyDescent="0.25">
      <c r="A64" s="16" t="s">
        <v>291</v>
      </c>
      <c r="B64" s="293" t="s">
        <v>294</v>
      </c>
      <c r="C64" s="301">
        <f>'9.1. sz. mell ÖNK'!C67</f>
        <v>0</v>
      </c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1306807178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>
        <f>'9.1. sz. mell ÖNK'!C70</f>
        <v>0</v>
      </c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577654804</v>
      </c>
    </row>
    <row r="76" spans="1:3" s="424" customFormat="1" ht="12" customHeight="1" x14ac:dyDescent="0.2">
      <c r="A76" s="15" t="s">
        <v>331</v>
      </c>
      <c r="B76" s="425" t="s">
        <v>309</v>
      </c>
      <c r="C76" s="301">
        <f>'9.1.1. sz. mell ÖNK'!C79+'9.2. sz. mell HIV'!C39+'9.3. sz. mell GAM'!C38+'9.4. sz. mell ILMKS'!C38+'9.5. sz. mell OVI'!C38</f>
        <v>577654804</v>
      </c>
    </row>
    <row r="77" spans="1:3" s="424" customFormat="1" ht="12" customHeight="1" thickBot="1" x14ac:dyDescent="0.25">
      <c r="A77" s="16" t="s">
        <v>332</v>
      </c>
      <c r="B77" s="293" t="s">
        <v>310</v>
      </c>
      <c r="C77" s="301">
        <f>'9.1.1. sz. mell ÖNK'!C80+'9.2. sz. mell HIV'!C40+'9.3. sz. mell GAM'!C39+'9.4. sz. mell ILMKS'!C39+'9.5. sz. mell OVI'!C39</f>
        <v>0</v>
      </c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577654804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1884461982</v>
      </c>
    </row>
    <row r="91" spans="1:3" s="424" customFormat="1" ht="36" customHeight="1" x14ac:dyDescent="0.2">
      <c r="A91" s="5"/>
      <c r="B91" s="6"/>
      <c r="C91" s="303"/>
    </row>
    <row r="92" spans="1:3" ht="16.5" customHeight="1" x14ac:dyDescent="0.25">
      <c r="A92" s="670" t="s">
        <v>44</v>
      </c>
      <c r="B92" s="670"/>
      <c r="C92" s="670"/>
    </row>
    <row r="93" spans="1:3" s="434" customFormat="1" ht="16.5" customHeight="1" thickBot="1" x14ac:dyDescent="0.3">
      <c r="A93" s="672" t="s">
        <v>146</v>
      </c>
      <c r="B93" s="672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2020.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1169459738</v>
      </c>
    </row>
    <row r="97" spans="1:3" ht="12" customHeight="1" x14ac:dyDescent="0.25">
      <c r="A97" s="17" t="s">
        <v>92</v>
      </c>
      <c r="B97" s="10" t="s">
        <v>46</v>
      </c>
      <c r="C97" s="536">
        <f>'9.1. sz. mell ÖNK'!C97+'9.2. sz. mell HIV'!C47+'9.3. sz. mell GAM'!C46+'9.4. sz. mell ILMKS'!C46+'9.5. sz. mell OVI'!C46+'9.6. sz. mell CSSK'!C46</f>
        <v>499749997</v>
      </c>
    </row>
    <row r="98" spans="1:3" ht="12" customHeight="1" x14ac:dyDescent="0.25">
      <c r="A98" s="14" t="s">
        <v>93</v>
      </c>
      <c r="B98" s="8" t="s">
        <v>172</v>
      </c>
      <c r="C98" s="298">
        <f>'9.1. sz. mell ÖNK'!C98+'9.2. sz. mell HIV'!C48+'9.3. sz. mell GAM'!C47+'9.4. sz. mell ILMKS'!C47+'9.5. sz. mell OVI'!C47+'9.6. sz. mell CSSK'!C47</f>
        <v>81832700</v>
      </c>
    </row>
    <row r="99" spans="1:3" ht="12" customHeight="1" x14ac:dyDescent="0.25">
      <c r="A99" s="14" t="s">
        <v>94</v>
      </c>
      <c r="B99" s="8" t="s">
        <v>134</v>
      </c>
      <c r="C99" s="537">
        <f>'9.1. sz. mell ÖNK'!C99+'9.2. sz. mell HIV'!C49+'9.3. sz. mell GAM'!C48+'9.4. sz. mell ILMKS'!C48+'9.5. sz. mell OVI'!C48+'9.6. sz. mell CSSK'!C48</f>
        <v>522677041</v>
      </c>
    </row>
    <row r="100" spans="1:3" ht="12" customHeight="1" x14ac:dyDescent="0.25">
      <c r="A100" s="14" t="s">
        <v>95</v>
      </c>
      <c r="B100" s="11" t="s">
        <v>173</v>
      </c>
      <c r="C100" s="298">
        <f>'9.1. sz. mell ÖNK'!C101+'9.2. sz. mell HIV'!C50+'9.3. sz. mell GAM'!C49+'9.4. sz. mell ILMKS'!C49+'9.5. sz. mell OVI'!C49+'9.6. sz. mell CSSK'!C49</f>
        <v>28450000</v>
      </c>
    </row>
    <row r="101" spans="1:3" ht="12" customHeight="1" x14ac:dyDescent="0.25">
      <c r="A101" s="14" t="s">
        <v>106</v>
      </c>
      <c r="B101" s="19" t="s">
        <v>174</v>
      </c>
      <c r="C101" s="537">
        <f>'9.1. sz. mell ÖNK'!C102+'9.2. sz. mell HIV'!C51+'9.3. sz. mell GAM'!C50+'9.4. sz. mell ILMKS'!C50+'9.5. sz. mell OVI'!C50+'9.6. sz. mell CSSK'!C50</f>
        <v>36750000</v>
      </c>
    </row>
    <row r="102" spans="1:3" ht="12" customHeight="1" x14ac:dyDescent="0.25">
      <c r="A102" s="14" t="s">
        <v>96</v>
      </c>
      <c r="B102" s="8" t="s">
        <v>434</v>
      </c>
      <c r="C102" s="300">
        <f>'9.1. sz. mell ÖNK'!C103</f>
        <v>0</v>
      </c>
    </row>
    <row r="103" spans="1:3" ht="12" customHeight="1" x14ac:dyDescent="0.25">
      <c r="A103" s="14" t="s">
        <v>97</v>
      </c>
      <c r="B103" s="151" t="s">
        <v>433</v>
      </c>
      <c r="C103" s="300">
        <f>'9.1. sz. mell ÖNK'!C104</f>
        <v>0</v>
      </c>
    </row>
    <row r="104" spans="1:3" ht="12" customHeight="1" x14ac:dyDescent="0.25">
      <c r="A104" s="14" t="s">
        <v>107</v>
      </c>
      <c r="B104" s="151" t="s">
        <v>432</v>
      </c>
      <c r="C104" s="300">
        <f>'9.1. sz. mell ÖNK'!C105</f>
        <v>0</v>
      </c>
    </row>
    <row r="105" spans="1:3" ht="12" customHeight="1" x14ac:dyDescent="0.25">
      <c r="A105" s="14" t="s">
        <v>108</v>
      </c>
      <c r="B105" s="149" t="s">
        <v>342</v>
      </c>
      <c r="C105" s="300">
        <f>'9.1. sz. mell ÖNK'!C106</f>
        <v>0</v>
      </c>
    </row>
    <row r="106" spans="1:3" ht="12" customHeight="1" x14ac:dyDescent="0.25">
      <c r="A106" s="14" t="s">
        <v>109</v>
      </c>
      <c r="B106" s="150" t="s">
        <v>343</v>
      </c>
      <c r="C106" s="300">
        <f>'9.1. sz. mell ÖNK'!C107</f>
        <v>0</v>
      </c>
    </row>
    <row r="107" spans="1:3" ht="12" customHeight="1" x14ac:dyDescent="0.25">
      <c r="A107" s="14" t="s">
        <v>110</v>
      </c>
      <c r="B107" s="150" t="s">
        <v>344</v>
      </c>
      <c r="C107" s="300">
        <f>'9.1. sz. mell ÖNK'!C108</f>
        <v>0</v>
      </c>
    </row>
    <row r="108" spans="1:3" ht="12" customHeight="1" x14ac:dyDescent="0.25">
      <c r="A108" s="14" t="s">
        <v>112</v>
      </c>
      <c r="B108" s="149" t="s">
        <v>345</v>
      </c>
      <c r="C108" s="300">
        <f>'9.1. sz. mell ÖNK'!C109</f>
        <v>1000000</v>
      </c>
    </row>
    <row r="109" spans="1:3" ht="12" customHeight="1" x14ac:dyDescent="0.25">
      <c r="A109" s="14" t="s">
        <v>175</v>
      </c>
      <c r="B109" s="149" t="s">
        <v>346</v>
      </c>
      <c r="C109" s="300">
        <f>'9.1. sz. mell ÖNK'!C110</f>
        <v>0</v>
      </c>
    </row>
    <row r="110" spans="1:3" ht="12" customHeight="1" x14ac:dyDescent="0.25">
      <c r="A110" s="14" t="s">
        <v>340</v>
      </c>
      <c r="B110" s="150" t="s">
        <v>347</v>
      </c>
      <c r="C110" s="300">
        <f>'9.1. sz. mell ÖNK'!C111</f>
        <v>0</v>
      </c>
    </row>
    <row r="111" spans="1:3" ht="12" customHeight="1" x14ac:dyDescent="0.25">
      <c r="A111" s="13" t="s">
        <v>341</v>
      </c>
      <c r="B111" s="151" t="s">
        <v>348</v>
      </c>
      <c r="C111" s="300">
        <f>'9.1. sz. mell ÖNK'!C112</f>
        <v>0</v>
      </c>
    </row>
    <row r="112" spans="1:3" ht="12" customHeight="1" x14ac:dyDescent="0.25">
      <c r="A112" s="14" t="s">
        <v>430</v>
      </c>
      <c r="B112" s="151" t="s">
        <v>349</v>
      </c>
      <c r="C112" s="300">
        <f>'9.1. sz. mell ÖNK'!C113</f>
        <v>0</v>
      </c>
    </row>
    <row r="113" spans="1:3" ht="12" customHeight="1" x14ac:dyDescent="0.25">
      <c r="A113" s="16" t="s">
        <v>431</v>
      </c>
      <c r="B113" s="151" t="s">
        <v>350</v>
      </c>
      <c r="C113" s="300">
        <f>'9.1. sz. mell ÖNK'!C114</f>
        <v>35750000</v>
      </c>
    </row>
    <row r="114" spans="1:3" ht="12" customHeight="1" x14ac:dyDescent="0.25">
      <c r="A114" s="14" t="s">
        <v>435</v>
      </c>
      <c r="B114" s="11" t="s">
        <v>47</v>
      </c>
      <c r="C114" s="300">
        <f>'9.1. sz. mell ÖNK'!C115</f>
        <v>0</v>
      </c>
    </row>
    <row r="115" spans="1:3" ht="12" customHeight="1" x14ac:dyDescent="0.25">
      <c r="A115" s="14" t="s">
        <v>436</v>
      </c>
      <c r="B115" s="8" t="s">
        <v>438</v>
      </c>
      <c r="C115" s="300">
        <f>'9.1. sz. mell ÖNK'!C116</f>
        <v>0</v>
      </c>
    </row>
    <row r="116" spans="1:3" ht="12" customHeight="1" thickBot="1" x14ac:dyDescent="0.3">
      <c r="A116" s="16" t="s">
        <v>437</v>
      </c>
      <c r="B116" s="547" t="s">
        <v>439</v>
      </c>
      <c r="C116" s="300">
        <f>'9.1. sz. mell ÖNK'!C117</f>
        <v>0</v>
      </c>
    </row>
    <row r="117" spans="1:3" ht="12" customHeight="1" thickBot="1" x14ac:dyDescent="0.3">
      <c r="A117" s="20" t="s">
        <v>16</v>
      </c>
      <c r="B117" s="27" t="s">
        <v>351</v>
      </c>
      <c r="C117" s="296">
        <f>+C118+C120+C122</f>
        <v>683501970</v>
      </c>
    </row>
    <row r="118" spans="1:3" ht="12" customHeight="1" x14ac:dyDescent="0.25">
      <c r="A118" s="15" t="s">
        <v>98</v>
      </c>
      <c r="B118" s="8" t="s">
        <v>214</v>
      </c>
      <c r="C118" s="299">
        <f>'9.1. sz. mell ÖNK'!C119+'9.2. sz. mell HIV'!C53+'9.3. sz. mell GAM'!C52+'9.4. sz. mell ILMKS'!C52+'9.5. sz. mell OVI'!C52+'9.6. sz. mell CSSK'!C52</f>
        <v>657028820</v>
      </c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9">
        <f>'9.1. sz. mell ÖNK'!C121+'9.2. sz. mell HIV'!C54+'9.3. sz. mell GAM'!C53+'9.4. sz. mell ILMKS'!C53+'9.5. sz. mell OVI'!C53+'9.6. sz. mell CSSK'!C53</f>
        <v>26473150</v>
      </c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99">
        <f>'9.1. sz. mell ÖNK'!C123+'9.2. sz. mell HIV'!C55+'9.3. sz. mell GAM'!C54+'9.4. sz. mell ILMKS'!C54+'9.5. sz. mell OVI'!C54</f>
        <v>0</v>
      </c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>
        <f>'9.1. sz. mell ÖNK'!C131</f>
        <v>0</v>
      </c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1852961708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11440000</v>
      </c>
    </row>
    <row r="133" spans="1:3" ht="12" customHeight="1" x14ac:dyDescent="0.25">
      <c r="A133" s="15" t="s">
        <v>256</v>
      </c>
      <c r="B133" s="12" t="s">
        <v>448</v>
      </c>
      <c r="C133" s="279">
        <f>'9.1. sz. mell ÖNK'!C134</f>
        <v>11440000</v>
      </c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20060274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>
        <f>'9.1. sz. mell ÖNK'!C146</f>
        <v>19566899</v>
      </c>
    </row>
    <row r="146" spans="1:9" ht="12" customHeight="1" x14ac:dyDescent="0.25">
      <c r="A146" s="15" t="s">
        <v>276</v>
      </c>
      <c r="B146" s="9" t="s">
        <v>456</v>
      </c>
      <c r="C146" s="279">
        <f>'9.1. sz. mell ÖNK'!C148</f>
        <v>0</v>
      </c>
    </row>
    <row r="147" spans="1:9" ht="12" customHeight="1" thickBot="1" x14ac:dyDescent="0.3">
      <c r="A147" s="13" t="s">
        <v>277</v>
      </c>
      <c r="B147" s="7" t="s">
        <v>382</v>
      </c>
      <c r="C147" s="279">
        <f>'9.1. sz. mell ÖNK'!C149</f>
        <v>493375</v>
      </c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31500274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1884461982</v>
      </c>
    </row>
    <row r="158" spans="1:9" ht="7.5" customHeight="1" x14ac:dyDescent="0.25"/>
    <row r="159" spans="1:9" x14ac:dyDescent="0.25">
      <c r="A159" s="673" t="s">
        <v>364</v>
      </c>
      <c r="B159" s="673"/>
      <c r="C159" s="673"/>
    </row>
    <row r="160" spans="1:9" ht="15" customHeight="1" thickBot="1" x14ac:dyDescent="0.3">
      <c r="A160" s="671" t="s">
        <v>147</v>
      </c>
      <c r="B160" s="671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-546154530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546154530</v>
      </c>
    </row>
  </sheetData>
  <mergeCells count="6">
    <mergeCell ref="A1:C1"/>
    <mergeCell ref="A2:B2"/>
    <mergeCell ref="A93:B93"/>
    <mergeCell ref="A159:C159"/>
    <mergeCell ref="A160:B160"/>
    <mergeCell ref="A92:C92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2020. ÉVI KÖLTSÉGVETÉSÉNEK ÖSSZEVONT MÉRLEGE&amp;10
&amp;R&amp;"Times New Roman CE,Félkövér dőlt"&amp;11 1.1. melléklet a /2020. (...) önkormányzati rendelethez</oddHeader>
  </headerFooter>
  <rowBreaks count="1" manualBreakCount="1">
    <brk id="90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9" zoomScaleNormal="100" workbookViewId="0">
      <selection activeCell="C54" sqref="C5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.../2020.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381000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300000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81000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584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431000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118186785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118186785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118617785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118517785</v>
      </c>
    </row>
    <row r="47" spans="1:3" ht="12" customHeight="1" x14ac:dyDescent="0.2">
      <c r="A47" s="460" t="s">
        <v>92</v>
      </c>
      <c r="B47" s="9" t="s">
        <v>46</v>
      </c>
      <c r="C47" s="77">
        <v>91722866</v>
      </c>
    </row>
    <row r="48" spans="1:3" ht="12" customHeight="1" x14ac:dyDescent="0.2">
      <c r="A48" s="460" t="s">
        <v>93</v>
      </c>
      <c r="B48" s="8" t="s">
        <v>172</v>
      </c>
      <c r="C48" s="80">
        <v>16980219</v>
      </c>
    </row>
    <row r="49" spans="1:3" ht="12" customHeight="1" x14ac:dyDescent="0.2">
      <c r="A49" s="460" t="s">
        <v>94</v>
      </c>
      <c r="B49" s="8" t="s">
        <v>134</v>
      </c>
      <c r="C49" s="80">
        <v>9814700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100000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v>100000</v>
      </c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118617785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…./2020. (…..)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7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.../2020. (…...) önkormányzati rendelethez</v>
      </c>
    </row>
    <row r="2" spans="1:3" s="465" customFormat="1" ht="25.5" customHeight="1" x14ac:dyDescent="0.2">
      <c r="A2" s="415" t="s">
        <v>193</v>
      </c>
      <c r="B2" s="357" t="s">
        <v>554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23763047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23763047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23763047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23763047</v>
      </c>
    </row>
    <row r="47" spans="1:3" ht="12" customHeight="1" x14ac:dyDescent="0.2">
      <c r="A47" s="460" t="s">
        <v>92</v>
      </c>
      <c r="B47" s="9" t="s">
        <v>46</v>
      </c>
      <c r="C47" s="77">
        <f>18681211+200000</f>
        <v>18881211</v>
      </c>
    </row>
    <row r="48" spans="1:3" ht="12" customHeight="1" x14ac:dyDescent="0.2">
      <c r="A48" s="460" t="s">
        <v>93</v>
      </c>
      <c r="B48" s="8" t="s">
        <v>172</v>
      </c>
      <c r="C48" s="80">
        <v>3681836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23763047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5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….../2020.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64560492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44408407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200000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6540490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13411595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17512094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17512094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82072586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179046309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179046309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261118895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261118895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119570500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21105368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120443027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0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261118895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f>'9.3.1. sz. mell GAM'!C59+'9.3.2. sz. mell GAM'!C59+'9.3.3. sz. mell GAM'!C59</f>
        <v>49</v>
      </c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.../2020.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42928472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27375320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200000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6540490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v>8812662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17512094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17512094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60440566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169530212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169530212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229970778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229970778</v>
      </c>
    </row>
    <row r="46" spans="1:3" ht="12" customHeight="1" x14ac:dyDescent="0.2">
      <c r="A46" s="460" t="s">
        <v>92</v>
      </c>
      <c r="B46" s="9" t="s">
        <v>46</v>
      </c>
      <c r="C46" s="77">
        <v>110544000</v>
      </c>
    </row>
    <row r="47" spans="1:3" ht="12" customHeight="1" x14ac:dyDescent="0.2">
      <c r="A47" s="460" t="s">
        <v>93</v>
      </c>
      <c r="B47" s="8" t="s">
        <v>172</v>
      </c>
      <c r="C47" s="80">
        <v>19345200</v>
      </c>
    </row>
    <row r="48" spans="1:3" ht="12" customHeight="1" x14ac:dyDescent="0.2">
      <c r="A48" s="460" t="s">
        <v>94</v>
      </c>
      <c r="B48" s="8" t="s">
        <v>134</v>
      </c>
      <c r="C48" s="80">
        <v>100081578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229970778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41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48" sqref="C4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21632020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17033087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4598933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21632020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9516097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9516097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31148117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31148117</v>
      </c>
    </row>
    <row r="46" spans="1:3" ht="12" customHeight="1" x14ac:dyDescent="0.2">
      <c r="A46" s="460" t="s">
        <v>92</v>
      </c>
      <c r="B46" s="9" t="s">
        <v>46</v>
      </c>
      <c r="C46" s="77">
        <v>9026500</v>
      </c>
    </row>
    <row r="47" spans="1:3" ht="12" customHeight="1" x14ac:dyDescent="0.2">
      <c r="A47" s="460" t="s">
        <v>93</v>
      </c>
      <c r="B47" s="8" t="s">
        <v>172</v>
      </c>
      <c r="C47" s="80">
        <v>1760168</v>
      </c>
    </row>
    <row r="48" spans="1:3" ht="12" customHeight="1" x14ac:dyDescent="0.2">
      <c r="A48" s="460" t="s">
        <v>94</v>
      </c>
      <c r="B48" s="8" t="s">
        <v>134</v>
      </c>
      <c r="C48" s="80">
        <v>20361449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31148117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8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0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…../2020.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13266450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1015000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1631450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1484730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1484730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14751180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49810949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8545872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41265077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64562129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63308728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28449046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5089042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29770640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1253401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1101001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152400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64562129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41" sqref="C41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11996450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1361450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1484730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1484730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13481180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49810949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8545872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41265077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63292129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62038728</v>
      </c>
    </row>
    <row r="46" spans="1:3" ht="12" customHeight="1" x14ac:dyDescent="0.2">
      <c r="A46" s="460" t="s">
        <v>92</v>
      </c>
      <c r="B46" s="9" t="s">
        <v>46</v>
      </c>
      <c r="C46" s="77">
        <v>28449046</v>
      </c>
    </row>
    <row r="47" spans="1:3" ht="12" customHeight="1" x14ac:dyDescent="0.2">
      <c r="A47" s="460" t="s">
        <v>93</v>
      </c>
      <c r="B47" s="8" t="s">
        <v>172</v>
      </c>
      <c r="C47" s="80">
        <v>5089042</v>
      </c>
    </row>
    <row r="48" spans="1:3" ht="12" customHeight="1" x14ac:dyDescent="0.2">
      <c r="A48" s="460" t="s">
        <v>94</v>
      </c>
      <c r="B48" s="8" t="s">
        <v>134</v>
      </c>
      <c r="C48" s="80">
        <v>28500640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1253401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1101001</v>
      </c>
    </row>
    <row r="53" spans="1:3" ht="12" customHeight="1" x14ac:dyDescent="0.2">
      <c r="A53" s="460" t="s">
        <v>99</v>
      </c>
      <c r="B53" s="8" t="s">
        <v>176</v>
      </c>
      <c r="C53" s="80">
        <v>152400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63292129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…./2020.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1270000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1000000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270000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1270000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1270000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1270000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v>1270000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1270000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BreakPreview" zoomScaleNormal="130" zoomScaleSheetLayoutView="100" workbookViewId="0">
      <selection activeCell="A7" sqref="A7:B11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0" t="s">
        <v>12</v>
      </c>
      <c r="B1" s="670"/>
      <c r="C1" s="670"/>
    </row>
    <row r="2" spans="1:3" ht="15.95" customHeight="1" thickBot="1" x14ac:dyDescent="0.3">
      <c r="A2" s="671" t="s">
        <v>145</v>
      </c>
      <c r="B2" s="671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2020.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+C6+C7+C10+C11+C12+C13</f>
        <v>531122488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209740590</v>
      </c>
    </row>
    <row r="7" spans="1:3" s="424" customFormat="1" ht="12" customHeight="1" x14ac:dyDescent="0.2">
      <c r="A7" s="14" t="s">
        <v>93</v>
      </c>
      <c r="B7" s="426" t="s">
        <v>710</v>
      </c>
      <c r="C7" s="299">
        <f>'9.1.1. sz. mell ÖNK'!C10</f>
        <v>74292320</v>
      </c>
    </row>
    <row r="8" spans="1:3" s="424" customFormat="1" ht="12" customHeight="1" x14ac:dyDescent="0.2">
      <c r="A8" s="14" t="s">
        <v>712</v>
      </c>
      <c r="B8" s="426" t="s">
        <v>708</v>
      </c>
      <c r="C8" s="299">
        <f>'9.1.1. sz. mell ÖNK'!C11</f>
        <v>110495468</v>
      </c>
    </row>
    <row r="9" spans="1:3" s="424" customFormat="1" ht="12" customHeight="1" x14ac:dyDescent="0.2">
      <c r="A9" s="14" t="s">
        <v>713</v>
      </c>
      <c r="B9" s="426" t="s">
        <v>709</v>
      </c>
      <c r="C9" s="299">
        <f>'9.1.1. sz. mell ÖNK'!C12</f>
        <v>85970896</v>
      </c>
    </row>
    <row r="10" spans="1:3" s="424" customFormat="1" ht="21.75" customHeight="1" x14ac:dyDescent="0.2">
      <c r="A10" s="14" t="s">
        <v>94</v>
      </c>
      <c r="B10" s="426" t="s">
        <v>714</v>
      </c>
      <c r="C10" s="299">
        <f>'9.1.1. sz. mell ÖNK'!C13</f>
        <v>196466364</v>
      </c>
    </row>
    <row r="11" spans="1:3" s="424" customFormat="1" ht="12" customHeight="1" x14ac:dyDescent="0.2">
      <c r="A11" s="14" t="s">
        <v>95</v>
      </c>
      <c r="B11" s="426" t="s">
        <v>711</v>
      </c>
      <c r="C11" s="299">
        <f>'9.1.1. sz. mell ÖNK'!C14</f>
        <v>8673183</v>
      </c>
    </row>
    <row r="12" spans="1:3" s="424" customFormat="1" ht="12" customHeight="1" x14ac:dyDescent="0.2">
      <c r="A12" s="14" t="s">
        <v>141</v>
      </c>
      <c r="B12" s="292" t="s">
        <v>424</v>
      </c>
      <c r="C12" s="299">
        <f>'9.1.1. sz. mell ÖNK'!C15</f>
        <v>41950031</v>
      </c>
    </row>
    <row r="13" spans="1:3" s="424" customFormat="1" ht="12" customHeight="1" thickBot="1" x14ac:dyDescent="0.25">
      <c r="A13" s="16" t="s">
        <v>96</v>
      </c>
      <c r="B13" s="293" t="s">
        <v>425</v>
      </c>
      <c r="C13" s="299">
        <f>'9.1.1. sz. mell ÖNK'!C16</f>
        <v>0</v>
      </c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143183089</v>
      </c>
    </row>
    <row r="15" spans="1:3" s="424" customFormat="1" ht="12" customHeight="1" x14ac:dyDescent="0.2">
      <c r="A15" s="15" t="s">
        <v>98</v>
      </c>
      <c r="B15" s="425" t="s">
        <v>246</v>
      </c>
      <c r="C15" s="299">
        <f>'9.1.1. sz. mell ÖNK'!C18</f>
        <v>0</v>
      </c>
    </row>
    <row r="16" spans="1:3" s="424" customFormat="1" ht="12" customHeight="1" x14ac:dyDescent="0.2">
      <c r="A16" s="14" t="s">
        <v>99</v>
      </c>
      <c r="B16" s="426" t="s">
        <v>247</v>
      </c>
      <c r="C16" s="299">
        <f>'9.1.1. sz. mell ÖNK'!C19</f>
        <v>0</v>
      </c>
    </row>
    <row r="17" spans="1:3" s="424" customFormat="1" ht="12" customHeight="1" x14ac:dyDescent="0.2">
      <c r="A17" s="14" t="s">
        <v>100</v>
      </c>
      <c r="B17" s="426" t="s">
        <v>414</v>
      </c>
      <c r="C17" s="299">
        <f>'9.1.1. sz. mell ÖNK'!C20</f>
        <v>0</v>
      </c>
    </row>
    <row r="18" spans="1:3" s="424" customFormat="1" ht="12" customHeight="1" x14ac:dyDescent="0.2">
      <c r="A18" s="14" t="s">
        <v>101</v>
      </c>
      <c r="B18" s="426" t="s">
        <v>415</v>
      </c>
      <c r="C18" s="299">
        <f>'9.1.1. sz. mell ÖNK'!C21</f>
        <v>0</v>
      </c>
    </row>
    <row r="19" spans="1:3" s="424" customFormat="1" ht="12" customHeight="1" x14ac:dyDescent="0.2">
      <c r="A19" s="14" t="s">
        <v>102</v>
      </c>
      <c r="B19" s="426" t="s">
        <v>248</v>
      </c>
      <c r="C19" s="299">
        <f>'9.1.1. sz. mell ÖNK'!C22+'9.3. sz. mell GAM'!C23+'9.4. sz. mell ILMKS'!C23+'9.2.1. sz. mell HIV'!C23</f>
        <v>143183089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299">
        <f>'9.1.1. sz. mell ÖNK'!C23</f>
        <v>0</v>
      </c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369130289</v>
      </c>
    </row>
    <row r="22" spans="1:3" s="424" customFormat="1" ht="12" customHeight="1" x14ac:dyDescent="0.2">
      <c r="A22" s="15" t="s">
        <v>81</v>
      </c>
      <c r="B22" s="425" t="s">
        <v>251</v>
      </c>
      <c r="C22" s="299">
        <f>'9.1.1. sz. mell ÖNK'!C25</f>
        <v>0</v>
      </c>
    </row>
    <row r="23" spans="1:3" s="424" customFormat="1" ht="12" customHeight="1" x14ac:dyDescent="0.2">
      <c r="A23" s="14" t="s">
        <v>82</v>
      </c>
      <c r="B23" s="426" t="s">
        <v>252</v>
      </c>
      <c r="C23" s="299">
        <f>'9.1.1. sz. mell ÖNK'!C26</f>
        <v>0</v>
      </c>
    </row>
    <row r="24" spans="1:3" s="424" customFormat="1" ht="12" customHeight="1" x14ac:dyDescent="0.2">
      <c r="A24" s="14" t="s">
        <v>83</v>
      </c>
      <c r="B24" s="426" t="s">
        <v>416</v>
      </c>
      <c r="C24" s="299">
        <f>'9.1.1. sz. mell ÖNK'!C27</f>
        <v>0</v>
      </c>
    </row>
    <row r="25" spans="1:3" s="424" customFormat="1" ht="12" customHeight="1" x14ac:dyDescent="0.2">
      <c r="A25" s="14" t="s">
        <v>84</v>
      </c>
      <c r="B25" s="426" t="s">
        <v>417</v>
      </c>
      <c r="C25" s="299">
        <f>'9.1.1. sz. mell ÖNK'!C28</f>
        <v>0</v>
      </c>
    </row>
    <row r="26" spans="1:3" s="424" customFormat="1" ht="12" customHeight="1" x14ac:dyDescent="0.2">
      <c r="A26" s="14" t="s">
        <v>160</v>
      </c>
      <c r="B26" s="426" t="s">
        <v>253</v>
      </c>
      <c r="C26" s="299">
        <f>'9.1.1. sz. mell ÖNK'!C29+'9.4.1. sz. mell ILMKS'!C28</f>
        <v>369130289</v>
      </c>
    </row>
    <row r="27" spans="1:3" s="424" customFormat="1" ht="12" customHeight="1" thickBot="1" x14ac:dyDescent="0.25">
      <c r="A27" s="16" t="s">
        <v>161</v>
      </c>
      <c r="B27" s="427" t="s">
        <v>254</v>
      </c>
      <c r="C27" s="299">
        <f>'9.1.1. sz. mell ÖNK'!C30</f>
        <v>0</v>
      </c>
    </row>
    <row r="28" spans="1:3" s="424" customFormat="1" ht="12" customHeight="1" thickBot="1" x14ac:dyDescent="0.25">
      <c r="A28" s="20" t="s">
        <v>162</v>
      </c>
      <c r="B28" s="21" t="s">
        <v>547</v>
      </c>
      <c r="C28" s="302">
        <f>SUM(C29:C36)+'9.2.1. sz. mell HIV'!C25</f>
        <v>144004128</v>
      </c>
    </row>
    <row r="29" spans="1:3" s="424" customFormat="1" ht="12" customHeight="1" x14ac:dyDescent="0.2">
      <c r="A29" s="15" t="s">
        <v>256</v>
      </c>
      <c r="B29" s="425" t="s">
        <v>542</v>
      </c>
      <c r="C29" s="299">
        <f>'9.1.1. sz. mell ÖNK'!C32</f>
        <v>0</v>
      </c>
    </row>
    <row r="30" spans="1:3" s="424" customFormat="1" ht="12" customHeight="1" x14ac:dyDescent="0.2">
      <c r="A30" s="14" t="s">
        <v>257</v>
      </c>
      <c r="B30" s="426" t="s">
        <v>543</v>
      </c>
      <c r="C30" s="299">
        <f>'9.1.1. sz. mell ÖNK'!C33</f>
        <v>15000</v>
      </c>
    </row>
    <row r="31" spans="1:3" s="424" customFormat="1" ht="12" customHeight="1" x14ac:dyDescent="0.2">
      <c r="A31" s="14" t="s">
        <v>258</v>
      </c>
      <c r="B31" s="426" t="s">
        <v>618</v>
      </c>
      <c r="C31" s="299">
        <f>'9.1.1. sz. mell ÖNK'!C34</f>
        <v>16500000</v>
      </c>
    </row>
    <row r="32" spans="1:3" s="424" customFormat="1" ht="12" customHeight="1" x14ac:dyDescent="0.2">
      <c r="A32" s="14" t="s">
        <v>259</v>
      </c>
      <c r="B32" s="426" t="s">
        <v>544</v>
      </c>
      <c r="C32" s="299">
        <f>'9.1.1. sz. mell ÖNK'!C35</f>
        <v>107239128</v>
      </c>
    </row>
    <row r="33" spans="1:3" s="424" customFormat="1" ht="12" customHeight="1" x14ac:dyDescent="0.2">
      <c r="A33" s="14" t="s">
        <v>539</v>
      </c>
      <c r="B33" s="426" t="s">
        <v>545</v>
      </c>
      <c r="C33" s="299">
        <f>'9.1.1. sz. mell ÖNK'!C36</f>
        <v>100000</v>
      </c>
    </row>
    <row r="34" spans="1:3" s="424" customFormat="1" ht="12" customHeight="1" x14ac:dyDescent="0.2">
      <c r="A34" s="14" t="s">
        <v>540</v>
      </c>
      <c r="B34" s="426" t="s">
        <v>260</v>
      </c>
      <c r="C34" s="299">
        <f>'9.1.1. sz. mell ÖNK'!C37</f>
        <v>16800000</v>
      </c>
    </row>
    <row r="35" spans="1:3" s="424" customFormat="1" ht="12" customHeight="1" x14ac:dyDescent="0.2">
      <c r="A35" s="16" t="s">
        <v>541</v>
      </c>
      <c r="B35" s="426" t="s">
        <v>261</v>
      </c>
      <c r="C35" s="299">
        <f>'9.1.1. sz. mell ÖNK'!C38</f>
        <v>0</v>
      </c>
    </row>
    <row r="36" spans="1:3" s="424" customFormat="1" ht="12" customHeight="1" thickBot="1" x14ac:dyDescent="0.25">
      <c r="A36" s="16" t="s">
        <v>619</v>
      </c>
      <c r="B36" s="522" t="s">
        <v>262</v>
      </c>
      <c r="C36" s="299">
        <f>'9.1.1. sz. mell ÖNK'!C39</f>
        <v>3300000</v>
      </c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75476782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'9.1.1. sz. mell ÖNK'!C41+'9.2.1. sz. mell HIV'!C9+'9.3.1. sz. mell GAM'!C9+'9.4.1. sz. mell ILMKS'!C9+'9.5.1. sz. mell OVI'!C9</f>
        <v>1935362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'9.1.1. sz. mell ÖNK'!C42+'9.2.1. sz. mell HIV'!C10+'9.3.1. sz. mell GAM'!C10+'9.4.1. sz. mell ILMKS'!C10+'9.5.1. sz. mell OVI'!C10</f>
        <v>52395320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'9.1.1. sz. mell ÖNK'!C43+'9.2.1. sz. mell HIV'!C11+'9.3.1. sz. mell GAM'!C11+'9.4.1. sz. mell ILMKS'!C11+'9.5.1. sz. mell OVI'!C11</f>
        <v>3400000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'9.1.1. sz. mell ÖNK'!C44+'9.2.1. sz. mell HIV'!C12+'9.3.1. sz. mell GAM'!C12+'9.4.1. sz. mell ILMKS'!C12+'9.5.1. sz. mell OVI'!C12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'9.1.1. sz. mell ÖNK'!C45+'9.2.1. sz. mell HIV'!C13+'9.3.1. sz. mell GAM'!C13+'9.4.1. sz. mell ILMKS'!C13+'9.5.1. sz. mell OVI'!C13</f>
        <v>6540490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'9.1.1. sz. mell ÖNK'!C46+'9.2.1. sz. mell HIV'!C14+'9.3.1. sz. mell GAM'!C14+'9.4.1. sz. mell ILMKS'!C14+'9.5.1. sz. mell OVI'!C14</f>
        <v>11205610</v>
      </c>
    </row>
    <row r="44" spans="1:3" s="424" customFormat="1" ht="12" customHeight="1" x14ac:dyDescent="0.2">
      <c r="A44" s="14" t="s">
        <v>167</v>
      </c>
      <c r="B44" s="426" t="s">
        <v>271</v>
      </c>
      <c r="C44" s="299">
        <f>'9.1.1. sz. mell ÖNK'!C47+'9.2.1. sz. mell HIV'!C15+'9.3.1. sz. mell GAM'!C15+'9.4.1. sz. mell ILMKS'!C15+'9.5.1. sz. mell OVI'!C15</f>
        <v>0</v>
      </c>
    </row>
    <row r="45" spans="1:3" s="424" customFormat="1" ht="12" customHeight="1" x14ac:dyDescent="0.2">
      <c r="A45" s="14" t="s">
        <v>168</v>
      </c>
      <c r="B45" s="426" t="s">
        <v>546</v>
      </c>
      <c r="C45" s="299">
        <f>'9.1.1. sz. mell ÖNK'!C48+'9.2.1. sz. mell HIV'!C16+'9.3.1. sz. mell GAM'!C16+'9.4.1. sz. mell ILMKS'!C16+'9.5.1. sz. mell OVI'!C16</f>
        <v>0</v>
      </c>
    </row>
    <row r="46" spans="1:3" s="424" customFormat="1" ht="12" customHeight="1" x14ac:dyDescent="0.2">
      <c r="A46" s="14" t="s">
        <v>263</v>
      </c>
      <c r="B46" s="426" t="s">
        <v>273</v>
      </c>
      <c r="C46" s="299">
        <f>'9.1.1. sz. mell ÖNK'!C49+'9.2.1. sz. mell HIV'!C17+'9.3.1. sz. mell GAM'!C17+'9.4.1. sz. mell ILMKS'!C17+'9.5.1. sz. mell OVI'!C17</f>
        <v>0</v>
      </c>
    </row>
    <row r="47" spans="1:3" s="424" customFormat="1" ht="12" customHeight="1" x14ac:dyDescent="0.2">
      <c r="A47" s="16" t="s">
        <v>264</v>
      </c>
      <c r="B47" s="427" t="s">
        <v>428</v>
      </c>
      <c r="C47" s="299">
        <f>'9.1.1. sz. mell ÖNK'!C50+'9.2.1. sz. mell HIV'!C18+'9.3.1. sz. mell GAM'!C18+'9.4.1. sz. mell ILMKS'!C18+'9.5.1. sz. mell OVI'!C18</f>
        <v>0</v>
      </c>
    </row>
    <row r="48" spans="1:3" s="424" customFormat="1" ht="12" customHeight="1" thickBot="1" x14ac:dyDescent="0.25">
      <c r="A48" s="16" t="s">
        <v>427</v>
      </c>
      <c r="B48" s="293" t="s">
        <v>274</v>
      </c>
      <c r="C48" s="299">
        <f>'9.1.1. sz. mell ÖNK'!C51+'9.2.1. sz. mell HIV'!C19+'9.3.1. sz. mell GAM'!C19+'9.4.1. sz. mell ILMKS'!C19+'9.5.1. sz. mell OVI'!C19</f>
        <v>0</v>
      </c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10200000</v>
      </c>
    </row>
    <row r="50" spans="1:3" s="424" customFormat="1" ht="12" customHeight="1" x14ac:dyDescent="0.2">
      <c r="A50" s="15" t="s">
        <v>88</v>
      </c>
      <c r="B50" s="425" t="s">
        <v>279</v>
      </c>
      <c r="C50" s="470">
        <f>'9.1.1. sz. mell ÖNK'!C53+'9.2.1. sz. mell HIV'!C32+'9.3.1. sz. mell GAM'!C31+'9.4.1. sz. mell ILMKS'!C31+'9.5.1. sz. mell OVI'!C31</f>
        <v>0</v>
      </c>
    </row>
    <row r="51" spans="1:3" s="424" customFormat="1" ht="12" customHeight="1" x14ac:dyDescent="0.2">
      <c r="A51" s="14" t="s">
        <v>89</v>
      </c>
      <c r="B51" s="426" t="s">
        <v>280</v>
      </c>
      <c r="C51" s="470">
        <f>'9.1.1. sz. mell ÖNK'!C54+'9.2.1. sz. mell HIV'!C33+'9.3.1. sz. mell GAM'!C32+'9.4.1. sz. mell ILMKS'!C32+'9.5.1. sz. mell OVI'!C32</f>
        <v>10200000</v>
      </c>
    </row>
    <row r="52" spans="1:3" s="424" customFormat="1" ht="12" customHeight="1" x14ac:dyDescent="0.2">
      <c r="A52" s="14" t="s">
        <v>276</v>
      </c>
      <c r="B52" s="426" t="s">
        <v>281</v>
      </c>
      <c r="C52" s="470">
        <f>'9.1.1. sz. mell ÖNK'!C55+'9.2.1. sz. mell HIV'!C34+'9.3.1. sz. mell GAM'!C33+'9.4.1. sz. mell ILMKS'!C33+'9.5.1. sz. mell OVI'!C33</f>
        <v>0</v>
      </c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>
        <f>'9.1.1. sz. mell ÖNK'!C59</f>
        <v>0</v>
      </c>
    </row>
    <row r="57" spans="1:3" s="424" customFormat="1" ht="12" customHeight="1" x14ac:dyDescent="0.2">
      <c r="A57" s="14" t="s">
        <v>91</v>
      </c>
      <c r="B57" s="426" t="s">
        <v>418</v>
      </c>
      <c r="C57" s="299">
        <f>'9.1.1. sz. mell ÖNK'!C60</f>
        <v>0</v>
      </c>
    </row>
    <row r="58" spans="1:3" s="424" customFormat="1" ht="12" customHeight="1" x14ac:dyDescent="0.2">
      <c r="A58" s="14" t="s">
        <v>288</v>
      </c>
      <c r="B58" s="426" t="s">
        <v>286</v>
      </c>
      <c r="C58" s="299">
        <f>'9.1.1. sz. mell ÖNK'!C61</f>
        <v>0</v>
      </c>
    </row>
    <row r="59" spans="1:3" s="424" customFormat="1" ht="12" customHeight="1" thickBot="1" x14ac:dyDescent="0.25">
      <c r="A59" s="16" t="s">
        <v>289</v>
      </c>
      <c r="B59" s="293" t="s">
        <v>287</v>
      </c>
      <c r="C59" s="299">
        <f>'9.1.1. sz. mell ÖNK'!C62</f>
        <v>0</v>
      </c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>
        <f>'9.1.1. sz. mell ÖNK'!C64</f>
        <v>0</v>
      </c>
    </row>
    <row r="62" spans="1:3" s="424" customFormat="1" ht="12" customHeight="1" x14ac:dyDescent="0.2">
      <c r="A62" s="14" t="s">
        <v>171</v>
      </c>
      <c r="B62" s="426" t="s">
        <v>419</v>
      </c>
      <c r="C62" s="301">
        <f>'9.1.1. sz. mell ÖNK'!C65</f>
        <v>0</v>
      </c>
    </row>
    <row r="63" spans="1:3" s="424" customFormat="1" ht="12" customHeight="1" x14ac:dyDescent="0.2">
      <c r="A63" s="14" t="s">
        <v>216</v>
      </c>
      <c r="B63" s="426" t="s">
        <v>293</v>
      </c>
      <c r="C63" s="301">
        <f>'9.1.1. sz. mell ÖNK'!C66</f>
        <v>0</v>
      </c>
    </row>
    <row r="64" spans="1:3" s="424" customFormat="1" ht="12" customHeight="1" thickBot="1" x14ac:dyDescent="0.25">
      <c r="A64" s="16" t="s">
        <v>291</v>
      </c>
      <c r="B64" s="293" t="s">
        <v>294</v>
      </c>
      <c r="C64" s="301">
        <f>'9.1.1. sz. mell ÖNK'!C67</f>
        <v>0</v>
      </c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1273116776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>
        <f>'9.1.1. sz. mell ÖNK'!C70</f>
        <v>0</v>
      </c>
    </row>
    <row r="68" spans="1:3" s="424" customFormat="1" ht="12" customHeight="1" x14ac:dyDescent="0.2">
      <c r="A68" s="14" t="s">
        <v>337</v>
      </c>
      <c r="B68" s="426" t="s">
        <v>299</v>
      </c>
      <c r="C68" s="301">
        <f>'9.1.1. sz. mell ÖNK'!C71</f>
        <v>0</v>
      </c>
    </row>
    <row r="69" spans="1:3" s="424" customFormat="1" ht="12" customHeight="1" thickBot="1" x14ac:dyDescent="0.25">
      <c r="A69" s="16" t="s">
        <v>338</v>
      </c>
      <c r="B69" s="488" t="s">
        <v>453</v>
      </c>
      <c r="C69" s="301">
        <f>'9.1.1. sz. mell ÖNK'!C72</f>
        <v>0</v>
      </c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>
        <f>'9.1.1. sz. mell ÖNK'!C74</f>
        <v>0</v>
      </c>
    </row>
    <row r="72" spans="1:3" s="424" customFormat="1" ht="12" customHeight="1" x14ac:dyDescent="0.2">
      <c r="A72" s="14" t="s">
        <v>143</v>
      </c>
      <c r="B72" s="426" t="s">
        <v>304</v>
      </c>
      <c r="C72" s="301">
        <f>'9.1.1. sz. mell ÖNK'!C75</f>
        <v>0</v>
      </c>
    </row>
    <row r="73" spans="1:3" s="424" customFormat="1" ht="12" customHeight="1" x14ac:dyDescent="0.2">
      <c r="A73" s="14" t="s">
        <v>329</v>
      </c>
      <c r="B73" s="426" t="s">
        <v>305</v>
      </c>
      <c r="C73" s="301">
        <f>'9.1.1. sz. mell ÖNK'!C76</f>
        <v>0</v>
      </c>
    </row>
    <row r="74" spans="1:3" s="424" customFormat="1" ht="12" customHeight="1" thickBot="1" x14ac:dyDescent="0.25">
      <c r="A74" s="16" t="s">
        <v>330</v>
      </c>
      <c r="B74" s="293" t="s">
        <v>306</v>
      </c>
      <c r="C74" s="301">
        <f>'9.1.1. sz. mell ÖNK'!C77</f>
        <v>0</v>
      </c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577654804</v>
      </c>
    </row>
    <row r="76" spans="1:3" s="424" customFormat="1" ht="12" customHeight="1" x14ac:dyDescent="0.2">
      <c r="A76" s="15" t="s">
        <v>331</v>
      </c>
      <c r="B76" s="425" t="s">
        <v>309</v>
      </c>
      <c r="C76" s="301">
        <f>'9.1.1. sz. mell ÖNK'!C79+'9.2.1. sz. mell HIV'!C39+'9.3.1. sz. mell GAM'!C38+'9.4.1. sz. mell ILMKS'!C38+'9.5.1. sz. mell OVI'!C38</f>
        <v>577654804</v>
      </c>
    </row>
    <row r="77" spans="1:3" s="424" customFormat="1" ht="12" customHeight="1" thickBot="1" x14ac:dyDescent="0.25">
      <c r="A77" s="16" t="s">
        <v>332</v>
      </c>
      <c r="B77" s="293" t="s">
        <v>310</v>
      </c>
      <c r="C77" s="301">
        <f>'9.1.1. sz. mell ÖNK'!C80+'9.2.1. sz. mell HIV'!C40+'9.3.1. sz. mell GAM'!C39+'9.4.1. sz. mell ILMKS'!C39+'9.5.1. sz. mell OVI'!C39</f>
        <v>0</v>
      </c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>
        <f>'9.1.1. sz. mell ÖNK'!C82</f>
        <v>0</v>
      </c>
    </row>
    <row r="80" spans="1:3" s="424" customFormat="1" ht="12" customHeight="1" x14ac:dyDescent="0.2">
      <c r="A80" s="14" t="s">
        <v>334</v>
      </c>
      <c r="B80" s="426" t="s">
        <v>314</v>
      </c>
      <c r="C80" s="301">
        <f>'9.1.1. sz. mell ÖNK'!C83</f>
        <v>0</v>
      </c>
    </row>
    <row r="81" spans="1:3" s="424" customFormat="1" ht="12" customHeight="1" thickBot="1" x14ac:dyDescent="0.25">
      <c r="A81" s="16" t="s">
        <v>335</v>
      </c>
      <c r="B81" s="293" t="s">
        <v>315</v>
      </c>
      <c r="C81" s="301">
        <f>'9.1.1. sz. mell ÖNK'!C84</f>
        <v>0</v>
      </c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>
        <f>'9.1.1. sz. mell ÖNK'!C86</f>
        <v>0</v>
      </c>
    </row>
    <row r="84" spans="1:3" s="424" customFormat="1" ht="12" customHeight="1" x14ac:dyDescent="0.2">
      <c r="A84" s="430" t="s">
        <v>319</v>
      </c>
      <c r="B84" s="426" t="s">
        <v>320</v>
      </c>
      <c r="C84" s="301">
        <f>'9.1.1. sz. mell ÖNK'!C87</f>
        <v>0</v>
      </c>
    </row>
    <row r="85" spans="1:3" s="424" customFormat="1" ht="12" customHeight="1" x14ac:dyDescent="0.2">
      <c r="A85" s="430" t="s">
        <v>321</v>
      </c>
      <c r="B85" s="426" t="s">
        <v>322</v>
      </c>
      <c r="C85" s="301">
        <f>'9.1.1. sz. mell ÖNK'!C88</f>
        <v>0</v>
      </c>
    </row>
    <row r="86" spans="1:3" s="424" customFormat="1" ht="12" customHeight="1" thickBot="1" x14ac:dyDescent="0.25">
      <c r="A86" s="431" t="s">
        <v>323</v>
      </c>
      <c r="B86" s="293" t="s">
        <v>324</v>
      </c>
      <c r="C86" s="301">
        <f>'9.1.1. sz. mell ÖNK'!C89</f>
        <v>0</v>
      </c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577654804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1850771580</v>
      </c>
    </row>
    <row r="91" spans="1:3" s="424" customFormat="1" ht="29.25" customHeight="1" x14ac:dyDescent="0.2">
      <c r="A91" s="5"/>
      <c r="B91" s="6"/>
      <c r="C91" s="303"/>
    </row>
    <row r="92" spans="1:3" ht="16.5" customHeight="1" x14ac:dyDescent="0.25">
      <c r="A92" s="670" t="s">
        <v>44</v>
      </c>
      <c r="B92" s="670"/>
      <c r="C92" s="670"/>
    </row>
    <row r="93" spans="1:3" s="434" customFormat="1" ht="16.5" customHeight="1" thickBot="1" x14ac:dyDescent="0.3">
      <c r="A93" s="672" t="s">
        <v>146</v>
      </c>
      <c r="B93" s="672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2020.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1102490192</v>
      </c>
    </row>
    <row r="97" spans="1:3" ht="12" customHeight="1" x14ac:dyDescent="0.25">
      <c r="A97" s="17" t="s">
        <v>92</v>
      </c>
      <c r="B97" s="10" t="s">
        <v>46</v>
      </c>
      <c r="C97" s="297">
        <f>'9.1.1. sz. mell ÖNK'!C97+'9.2.1. sz. mell HIV'!C47+'9.3.1. sz. mell GAM'!C46+'9.4.1. sz. mell ILMKS'!C46+'9.5.1. sz. mell OVI'!C46+'9.6.1. sz. mell CSSK'!C46</f>
        <v>465323663</v>
      </c>
    </row>
    <row r="98" spans="1:3" ht="12" customHeight="1" x14ac:dyDescent="0.25">
      <c r="A98" s="14" t="s">
        <v>93</v>
      </c>
      <c r="B98" s="8" t="s">
        <v>172</v>
      </c>
      <c r="C98" s="298">
        <f>'9.1.1. sz. mell ÖNK'!C98+'9.2.1. sz. mell HIV'!C48+'9.3.1. sz. mell GAM'!C47+'9.4.1. sz. mell ILMKS'!C47+'9.5.1. sz. mell OVI'!C47+'9.6.1. sz. mell CSSK'!C47</f>
        <v>75249937</v>
      </c>
    </row>
    <row r="99" spans="1:3" ht="12" customHeight="1" x14ac:dyDescent="0.25">
      <c r="A99" s="14" t="s">
        <v>94</v>
      </c>
      <c r="B99" s="8" t="s">
        <v>134</v>
      </c>
      <c r="C99" s="298">
        <f>'9.1.1. sz. mell ÖNK'!C99+'9.2.1. sz. mell HIV'!C49+'9.3.1. sz. mell GAM'!C48+'9.4.1. sz. mell ILMKS'!C48+'9.5.1. sz. mell OVI'!C48+'9.6.1. sz. mell CSSK'!C48</f>
        <v>496716592</v>
      </c>
    </row>
    <row r="100" spans="1:3" ht="12" customHeight="1" x14ac:dyDescent="0.25">
      <c r="A100" s="14" t="s">
        <v>95</v>
      </c>
      <c r="B100" s="11" t="s">
        <v>173</v>
      </c>
      <c r="C100" s="298">
        <f>'9.1.1. sz. mell ÖNK'!C101+'9.2.1. sz. mell HIV'!C50+'9.3.1. sz. mell GAM'!C49+'9.4.1. sz. mell ILMKS'!C49+'9.5.1. sz. mell OVI'!C49+'9.6.1. sz. mell CSSK'!C49</f>
        <v>28450000</v>
      </c>
    </row>
    <row r="101" spans="1:3" ht="12" customHeight="1" x14ac:dyDescent="0.25">
      <c r="A101" s="14" t="s">
        <v>106</v>
      </c>
      <c r="B101" s="19" t="s">
        <v>174</v>
      </c>
      <c r="C101" s="298">
        <f>'9.1.1. sz. mell ÖNK'!C102+'9.2.1. sz. mell HIV'!C51+'9.3.1. sz. mell GAM'!C50+'9.4.1. sz. mell ILMKS'!C50+'9.5.1. sz. mell OVI'!C50+'9.6.1. sz. mell CSSK'!C50</f>
        <v>36750000</v>
      </c>
    </row>
    <row r="102" spans="1:3" ht="12" customHeight="1" x14ac:dyDescent="0.25">
      <c r="A102" s="14" t="s">
        <v>96</v>
      </c>
      <c r="B102" s="8" t="s">
        <v>434</v>
      </c>
      <c r="C102" s="300">
        <f>'9.1.1. sz. mell ÖNK'!C103</f>
        <v>0</v>
      </c>
    </row>
    <row r="103" spans="1:3" ht="12" customHeight="1" x14ac:dyDescent="0.25">
      <c r="A103" s="14" t="s">
        <v>97</v>
      </c>
      <c r="B103" s="151" t="s">
        <v>433</v>
      </c>
      <c r="C103" s="300">
        <f>'9.1.1. sz. mell ÖNK'!C104</f>
        <v>0</v>
      </c>
    </row>
    <row r="104" spans="1:3" ht="12" customHeight="1" x14ac:dyDescent="0.25">
      <c r="A104" s="14" t="s">
        <v>107</v>
      </c>
      <c r="B104" s="151" t="s">
        <v>432</v>
      </c>
      <c r="C104" s="300">
        <f>'9.1.1. sz. mell ÖNK'!C105</f>
        <v>0</v>
      </c>
    </row>
    <row r="105" spans="1:3" ht="12" customHeight="1" x14ac:dyDescent="0.25">
      <c r="A105" s="14" t="s">
        <v>108</v>
      </c>
      <c r="B105" s="149" t="s">
        <v>342</v>
      </c>
      <c r="C105" s="300">
        <f>'9.1.1. sz. mell ÖNK'!C106</f>
        <v>0</v>
      </c>
    </row>
    <row r="106" spans="1:3" ht="12" customHeight="1" x14ac:dyDescent="0.25">
      <c r="A106" s="14" t="s">
        <v>109</v>
      </c>
      <c r="B106" s="150" t="s">
        <v>343</v>
      </c>
      <c r="C106" s="300">
        <f>'9.1.1. sz. mell ÖNK'!C107</f>
        <v>0</v>
      </c>
    </row>
    <row r="107" spans="1:3" ht="12" customHeight="1" x14ac:dyDescent="0.25">
      <c r="A107" s="14" t="s">
        <v>110</v>
      </c>
      <c r="B107" s="150" t="s">
        <v>344</v>
      </c>
      <c r="C107" s="300">
        <f>'9.1.1. sz. mell ÖNK'!C108</f>
        <v>0</v>
      </c>
    </row>
    <row r="108" spans="1:3" ht="12" customHeight="1" x14ac:dyDescent="0.25">
      <c r="A108" s="14" t="s">
        <v>112</v>
      </c>
      <c r="B108" s="149" t="s">
        <v>345</v>
      </c>
      <c r="C108" s="300">
        <f>'9.1.1. sz. mell ÖNK'!C109</f>
        <v>1000000</v>
      </c>
    </row>
    <row r="109" spans="1:3" ht="12" customHeight="1" x14ac:dyDescent="0.25">
      <c r="A109" s="14" t="s">
        <v>175</v>
      </c>
      <c r="B109" s="149" t="s">
        <v>346</v>
      </c>
      <c r="C109" s="300">
        <f>'9.1.1. sz. mell ÖNK'!C110</f>
        <v>0</v>
      </c>
    </row>
    <row r="110" spans="1:3" ht="12" customHeight="1" x14ac:dyDescent="0.25">
      <c r="A110" s="14" t="s">
        <v>340</v>
      </c>
      <c r="B110" s="150" t="s">
        <v>347</v>
      </c>
      <c r="C110" s="300">
        <f>'9.1.1. sz. mell ÖNK'!C111</f>
        <v>0</v>
      </c>
    </row>
    <row r="111" spans="1:3" ht="12" customHeight="1" x14ac:dyDescent="0.25">
      <c r="A111" s="13" t="s">
        <v>341</v>
      </c>
      <c r="B111" s="151" t="s">
        <v>348</v>
      </c>
      <c r="C111" s="300">
        <f>'9.1.1. sz. mell ÖNK'!C112</f>
        <v>0</v>
      </c>
    </row>
    <row r="112" spans="1:3" ht="12" customHeight="1" x14ac:dyDescent="0.25">
      <c r="A112" s="14" t="s">
        <v>430</v>
      </c>
      <c r="B112" s="151" t="s">
        <v>349</v>
      </c>
      <c r="C112" s="300">
        <f>'9.1.1. sz. mell ÖNK'!C113</f>
        <v>0</v>
      </c>
    </row>
    <row r="113" spans="1:3" ht="12" customHeight="1" x14ac:dyDescent="0.25">
      <c r="A113" s="16" t="s">
        <v>431</v>
      </c>
      <c r="B113" s="151" t="s">
        <v>350</v>
      </c>
      <c r="C113" s="300">
        <f>'9.1.1. sz. mell ÖNK'!C114</f>
        <v>35750000</v>
      </c>
    </row>
    <row r="114" spans="1:3" ht="12" customHeight="1" x14ac:dyDescent="0.25">
      <c r="A114" s="14" t="s">
        <v>435</v>
      </c>
      <c r="B114" s="11" t="s">
        <v>47</v>
      </c>
      <c r="C114" s="300">
        <f>'9.1.1. sz. mell ÖNK'!C115</f>
        <v>0</v>
      </c>
    </row>
    <row r="115" spans="1:3" ht="12" customHeight="1" x14ac:dyDescent="0.25">
      <c r="A115" s="14" t="s">
        <v>436</v>
      </c>
      <c r="B115" s="8" t="s">
        <v>438</v>
      </c>
      <c r="C115" s="300">
        <f>'9.1.1. sz. mell ÖNK'!C116</f>
        <v>0</v>
      </c>
    </row>
    <row r="116" spans="1:3" ht="12" customHeight="1" thickBot="1" x14ac:dyDescent="0.3">
      <c r="A116" s="16" t="s">
        <v>437</v>
      </c>
      <c r="B116" s="547" t="s">
        <v>439</v>
      </c>
      <c r="C116" s="300">
        <f>'9.1.1. sz. mell ÖNK'!C117</f>
        <v>0</v>
      </c>
    </row>
    <row r="117" spans="1:3" ht="12" customHeight="1" thickBot="1" x14ac:dyDescent="0.3">
      <c r="A117" s="20" t="s">
        <v>16</v>
      </c>
      <c r="B117" s="27" t="s">
        <v>351</v>
      </c>
      <c r="C117" s="296">
        <f>+C118+C120+C122</f>
        <v>683501970</v>
      </c>
    </row>
    <row r="118" spans="1:3" ht="12" customHeight="1" x14ac:dyDescent="0.25">
      <c r="A118" s="15" t="s">
        <v>98</v>
      </c>
      <c r="B118" s="8" t="s">
        <v>214</v>
      </c>
      <c r="C118" s="299">
        <f>'9.1.1. sz. mell ÖNK'!C119+'9.2.1. sz. mell HIV'!C53+'9.3.1. sz. mell GAM'!C52+'9.4.1. sz. mell ILMKS'!C52+'9.5.1. sz. mell OVI'!C52+'9.6.1. sz. mell CSSK'!C52</f>
        <v>657028820</v>
      </c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>
        <f>'9.1.1. sz. mell ÖNK'!C121+'9.2.1. sz. mell HIV'!C54+'9.3.1. sz. mell GAM'!C53+'9.4.1. sz. mell ILMKS'!C53+'9.5.1. sz. mell OVI'!C53+'9.6.1. sz. mell CSSK'!C53</f>
        <v>26473150</v>
      </c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>
        <f>'9.1.1. sz. mell ÖNK'!C123+'9.2.1. sz. mell HIV'!C55+'9.3.1. sz. mell GAM'!C54+'9.4.1. sz. mell ILMKS'!C54+'9.5.1. sz. mell OVI'!C54</f>
        <v>0</v>
      </c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1785992162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11440000</v>
      </c>
    </row>
    <row r="133" spans="1:3" ht="12" customHeight="1" x14ac:dyDescent="0.25">
      <c r="A133" s="15" t="s">
        <v>256</v>
      </c>
      <c r="B133" s="12" t="s">
        <v>448</v>
      </c>
      <c r="C133" s="279">
        <f>'9.1.1. sz. mell ÖNK'!C134</f>
        <v>11440000</v>
      </c>
    </row>
    <row r="134" spans="1:3" ht="12" customHeight="1" x14ac:dyDescent="0.25">
      <c r="A134" s="15" t="s">
        <v>257</v>
      </c>
      <c r="B134" s="12" t="s">
        <v>449</v>
      </c>
      <c r="C134" s="279">
        <f>'9.1.1. sz. mell ÖNK'!C135</f>
        <v>0</v>
      </c>
    </row>
    <row r="135" spans="1:3" ht="12" customHeight="1" thickBot="1" x14ac:dyDescent="0.3">
      <c r="A135" s="13" t="s">
        <v>258</v>
      </c>
      <c r="B135" s="12" t="s">
        <v>450</v>
      </c>
      <c r="C135" s="279">
        <f>'9.1.1. sz. mell ÖNK'!C136</f>
        <v>0</v>
      </c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>
        <f>'9.1.1. sz. mell ÖNK'!C138</f>
        <v>0</v>
      </c>
    </row>
    <row r="138" spans="1:3" ht="12" customHeight="1" x14ac:dyDescent="0.25">
      <c r="A138" s="15" t="s">
        <v>86</v>
      </c>
      <c r="B138" s="9" t="s">
        <v>443</v>
      </c>
      <c r="C138" s="279">
        <f>'9.1.1. sz. mell ÖNK'!C139</f>
        <v>0</v>
      </c>
    </row>
    <row r="139" spans="1:3" ht="12" customHeight="1" x14ac:dyDescent="0.25">
      <c r="A139" s="15" t="s">
        <v>87</v>
      </c>
      <c r="B139" s="9" t="s">
        <v>444</v>
      </c>
      <c r="C139" s="279">
        <f>'9.1.1. sz. mell ÖNK'!C140</f>
        <v>0</v>
      </c>
    </row>
    <row r="140" spans="1:3" ht="12" customHeight="1" x14ac:dyDescent="0.25">
      <c r="A140" s="15" t="s">
        <v>164</v>
      </c>
      <c r="B140" s="9" t="s">
        <v>445</v>
      </c>
      <c r="C140" s="279">
        <f>'9.1.1. sz. mell ÖNK'!C141</f>
        <v>0</v>
      </c>
    </row>
    <row r="141" spans="1:3" ht="12" customHeight="1" x14ac:dyDescent="0.25">
      <c r="A141" s="15" t="s">
        <v>165</v>
      </c>
      <c r="B141" s="9" t="s">
        <v>446</v>
      </c>
      <c r="C141" s="279">
        <f>'9.1.1. sz. mell ÖNK'!C142</f>
        <v>0</v>
      </c>
    </row>
    <row r="142" spans="1:3" ht="12" customHeight="1" thickBot="1" x14ac:dyDescent="0.3">
      <c r="A142" s="13" t="s">
        <v>166</v>
      </c>
      <c r="B142" s="9" t="s">
        <v>447</v>
      </c>
      <c r="C142" s="279">
        <f>'9.1.1. sz. mell ÖNK'!C143</f>
        <v>0</v>
      </c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20060274</v>
      </c>
    </row>
    <row r="144" spans="1:3" ht="12" customHeight="1" x14ac:dyDescent="0.25">
      <c r="A144" s="15" t="s">
        <v>88</v>
      </c>
      <c r="B144" s="9" t="s">
        <v>362</v>
      </c>
      <c r="C144" s="279">
        <f>'9.1.1. sz. mell ÖNK'!C145</f>
        <v>0</v>
      </c>
    </row>
    <row r="145" spans="1:9" ht="12" customHeight="1" x14ac:dyDescent="0.25">
      <c r="A145" s="15" t="s">
        <v>89</v>
      </c>
      <c r="B145" s="9" t="s">
        <v>363</v>
      </c>
      <c r="C145" s="279">
        <f>'9.1.1. sz. mell ÖNK'!C146</f>
        <v>19566899</v>
      </c>
    </row>
    <row r="146" spans="1:9" ht="12" customHeight="1" x14ac:dyDescent="0.25">
      <c r="A146" s="15" t="s">
        <v>276</v>
      </c>
      <c r="B146" s="9" t="s">
        <v>456</v>
      </c>
      <c r="C146" s="279">
        <f>'9.1.1. sz. mell ÖNK'!C148</f>
        <v>0</v>
      </c>
    </row>
    <row r="147" spans="1:9" ht="12" customHeight="1" thickBot="1" x14ac:dyDescent="0.3">
      <c r="A147" s="13" t="s">
        <v>277</v>
      </c>
      <c r="B147" s="7" t="s">
        <v>382</v>
      </c>
      <c r="C147" s="279">
        <f>'9.1.1. sz. mell ÖNK'!C149</f>
        <v>493375</v>
      </c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31500274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1817492436</v>
      </c>
    </row>
    <row r="158" spans="1:9" ht="7.5" customHeight="1" x14ac:dyDescent="0.25"/>
    <row r="159" spans="1:9" x14ac:dyDescent="0.25">
      <c r="A159" s="673" t="s">
        <v>364</v>
      </c>
      <c r="B159" s="673"/>
      <c r="C159" s="673"/>
    </row>
    <row r="160" spans="1:9" ht="15" customHeight="1" thickBot="1" x14ac:dyDescent="0.3">
      <c r="A160" s="671" t="s">
        <v>147</v>
      </c>
      <c r="B160" s="671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-512875386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546154530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2020. ÉVI KÖLTSÉGVETÉS KÖTELEZŐ FELADATAINAK MÉRLEGE &amp;R&amp;"Times New Roman CE,Félkövér dőlt"&amp;11 1.2. melléklet a .../2020. (....) önkormányzati rendelethez</oddHeader>
  </headerFooter>
  <rowBreaks count="1" manualBreakCount="1">
    <brk id="90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561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78128540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78128540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78128540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78128540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60559864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10697976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6870700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78128540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48" sqref="C4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78128540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78128540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78128540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78128540</v>
      </c>
    </row>
    <row r="46" spans="1:3" ht="12" customHeight="1" x14ac:dyDescent="0.2">
      <c r="A46" s="460" t="s">
        <v>92</v>
      </c>
      <c r="B46" s="9" t="s">
        <v>46</v>
      </c>
      <c r="C46" s="77">
        <v>60559864</v>
      </c>
    </row>
    <row r="47" spans="1:3" ht="12" customHeight="1" x14ac:dyDescent="0.2">
      <c r="A47" s="460" t="s">
        <v>93</v>
      </c>
      <c r="B47" s="8" t="s">
        <v>172</v>
      </c>
      <c r="C47" s="80">
        <v>10697976</v>
      </c>
    </row>
    <row r="48" spans="1:3" ht="12" customHeight="1" x14ac:dyDescent="0.2">
      <c r="A48" s="460" t="s">
        <v>94</v>
      </c>
      <c r="B48" s="8" t="s">
        <v>134</v>
      </c>
      <c r="C48" s="80">
        <v>6870700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78128540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.../2020. (…....)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560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602</v>
      </c>
      <c r="C2" s="371" t="s">
        <v>603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76041376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'9.6.1. sz. mell CSSK'!C40+'9.6.2. sz. mell CSSK'!C40+'9.6.3. sz. mell CSSK'!C40</f>
        <v>76041376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76041376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75685776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57952516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10441690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7291570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355600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355600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76041376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602</v>
      </c>
      <c r="C2" s="371" t="s">
        <v>603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76041376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76041376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76041376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75685776</v>
      </c>
    </row>
    <row r="46" spans="1:3" ht="12" customHeight="1" x14ac:dyDescent="0.2">
      <c r="A46" s="460" t="s">
        <v>92</v>
      </c>
      <c r="B46" s="9" t="s">
        <v>46</v>
      </c>
      <c r="C46" s="77">
        <v>57952516</v>
      </c>
    </row>
    <row r="47" spans="1:3" ht="12" customHeight="1" x14ac:dyDescent="0.2">
      <c r="A47" s="460" t="s">
        <v>93</v>
      </c>
      <c r="B47" s="8" t="s">
        <v>172</v>
      </c>
      <c r="C47" s="80">
        <v>10441690</v>
      </c>
    </row>
    <row r="48" spans="1:3" ht="12" customHeight="1" x14ac:dyDescent="0.2">
      <c r="A48" s="460" t="s">
        <v>94</v>
      </c>
      <c r="B48" s="8" t="s">
        <v>134</v>
      </c>
      <c r="C48" s="80">
        <v>7291570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355600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355600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76041376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11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…./2020. (…..) önkormányzati rendelethez</v>
      </c>
    </row>
    <row r="2" spans="1:3" s="465" customFormat="1" ht="25.5" customHeight="1" x14ac:dyDescent="0.2">
      <c r="A2" s="415" t="s">
        <v>193</v>
      </c>
      <c r="B2" s="357" t="s">
        <v>602</v>
      </c>
      <c r="C2" s="371" t="s">
        <v>603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…./2020. (…...) önkormányzati rendelethez</v>
      </c>
    </row>
    <row r="2" spans="1:3" s="465" customFormat="1" ht="25.5" customHeight="1" x14ac:dyDescent="0.2">
      <c r="A2" s="415" t="s">
        <v>193</v>
      </c>
      <c r="B2" s="357" t="s">
        <v>602</v>
      </c>
      <c r="C2" s="371" t="s">
        <v>603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550</v>
      </c>
      <c r="C5" s="360" t="s">
        <v>689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F14" sqref="F14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696" t="s">
        <v>3</v>
      </c>
      <c r="B1" s="696"/>
      <c r="C1" s="696"/>
      <c r="D1" s="696"/>
      <c r="E1" s="696"/>
      <c r="F1" s="696"/>
      <c r="G1" s="696"/>
    </row>
    <row r="3" spans="1:7" s="171" customFormat="1" ht="27" customHeight="1" x14ac:dyDescent="0.25">
      <c r="A3" s="169" t="s">
        <v>196</v>
      </c>
      <c r="B3" s="170"/>
      <c r="C3" s="695" t="s">
        <v>625</v>
      </c>
      <c r="D3" s="695"/>
      <c r="E3" s="695"/>
      <c r="F3" s="695"/>
      <c r="G3" s="695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695" t="s">
        <v>574</v>
      </c>
      <c r="D5" s="695"/>
      <c r="E5" s="695"/>
      <c r="F5" s="695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701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575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>
        <v>4551924</v>
      </c>
      <c r="D15" s="176">
        <v>1248315</v>
      </c>
      <c r="E15" s="176"/>
      <c r="F15" s="176"/>
      <c r="G15" s="269">
        <f t="shared" si="0"/>
        <v>5800239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4551924</v>
      </c>
      <c r="D16" s="272">
        <f>SUM(D10:D15)</f>
        <v>1248315</v>
      </c>
      <c r="E16" s="272">
        <f>SUM(E10:E15)</f>
        <v>0</v>
      </c>
      <c r="F16" s="272">
        <f>SUM(F10:F15)</f>
        <v>0</v>
      </c>
      <c r="G16" s="273">
        <f t="shared" si="0"/>
        <v>5800239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2020.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..../2020.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BreakPreview" zoomScaleNormal="100" zoomScaleSheetLayoutView="100" workbookViewId="0">
      <selection activeCell="A7" sqref="A7:B11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0" t="s">
        <v>12</v>
      </c>
      <c r="B1" s="670"/>
      <c r="C1" s="670"/>
    </row>
    <row r="2" spans="1:3" ht="15.95" customHeight="1" thickBot="1" x14ac:dyDescent="0.3">
      <c r="A2" s="671" t="s">
        <v>145</v>
      </c>
      <c r="B2" s="671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2020.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+C6+C7+C10+C11+C12+C13</f>
        <v>1616350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710</v>
      </c>
      <c r="C7" s="298"/>
    </row>
    <row r="8" spans="1:3" s="424" customFormat="1" ht="12" customHeight="1" x14ac:dyDescent="0.2">
      <c r="A8" s="14" t="s">
        <v>712</v>
      </c>
      <c r="B8" s="426" t="s">
        <v>708</v>
      </c>
      <c r="C8" s="298"/>
    </row>
    <row r="9" spans="1:3" s="424" customFormat="1" ht="12" customHeight="1" x14ac:dyDescent="0.2">
      <c r="A9" s="14" t="s">
        <v>713</v>
      </c>
      <c r="B9" s="426" t="s">
        <v>709</v>
      </c>
      <c r="C9" s="298"/>
    </row>
    <row r="10" spans="1:3" s="424" customFormat="1" ht="21.75" customHeight="1" x14ac:dyDescent="0.2">
      <c r="A10" s="14" t="s">
        <v>94</v>
      </c>
      <c r="B10" s="426" t="s">
        <v>714</v>
      </c>
      <c r="C10" s="298"/>
    </row>
    <row r="11" spans="1:3" s="424" customFormat="1" ht="12" customHeight="1" x14ac:dyDescent="0.2">
      <c r="A11" s="14" t="s">
        <v>95</v>
      </c>
      <c r="B11" s="426" t="s">
        <v>711</v>
      </c>
      <c r="C11" s="298"/>
    </row>
    <row r="12" spans="1:3" s="424" customFormat="1" ht="12" customHeight="1" x14ac:dyDescent="0.2">
      <c r="A12" s="14" t="s">
        <v>141</v>
      </c>
      <c r="B12" s="292" t="s">
        <v>424</v>
      </c>
      <c r="C12" s="298">
        <f>+'9.1.2. sz. mell ÖNK'!C15</f>
        <v>1616350</v>
      </c>
    </row>
    <row r="13" spans="1:3" s="424" customFormat="1" ht="12" customHeight="1" thickBot="1" x14ac:dyDescent="0.25">
      <c r="A13" s="16" t="s">
        <v>96</v>
      </c>
      <c r="B13" s="293" t="s">
        <v>425</v>
      </c>
      <c r="C13" s="298"/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7411160</v>
      </c>
    </row>
    <row r="15" spans="1:3" s="424" customFormat="1" ht="12" customHeight="1" x14ac:dyDescent="0.2">
      <c r="A15" s="15" t="s">
        <v>98</v>
      </c>
      <c r="B15" s="425" t="s">
        <v>246</v>
      </c>
      <c r="C15" s="299"/>
    </row>
    <row r="16" spans="1:3" s="424" customFormat="1" ht="12" customHeight="1" x14ac:dyDescent="0.2">
      <c r="A16" s="14" t="s">
        <v>99</v>
      </c>
      <c r="B16" s="426" t="s">
        <v>247</v>
      </c>
      <c r="C16" s="298"/>
    </row>
    <row r="17" spans="1:3" s="424" customFormat="1" ht="12" customHeight="1" x14ac:dyDescent="0.2">
      <c r="A17" s="14" t="s">
        <v>100</v>
      </c>
      <c r="B17" s="426" t="s">
        <v>414</v>
      </c>
      <c r="C17" s="298"/>
    </row>
    <row r="18" spans="1:3" s="424" customFormat="1" ht="12" customHeight="1" x14ac:dyDescent="0.2">
      <c r="A18" s="14" t="s">
        <v>101</v>
      </c>
      <c r="B18" s="426" t="s">
        <v>415</v>
      </c>
      <c r="C18" s="298"/>
    </row>
    <row r="19" spans="1:3" s="424" customFormat="1" ht="12" customHeight="1" x14ac:dyDescent="0.2">
      <c r="A19" s="14" t="s">
        <v>102</v>
      </c>
      <c r="B19" s="426" t="s">
        <v>248</v>
      </c>
      <c r="C19" s="298">
        <f>+'9.1.2. sz. mell ÖNK'!C22</f>
        <v>7411160</v>
      </c>
    </row>
    <row r="20" spans="1:3" s="424" customFormat="1" ht="12" customHeight="1" thickBot="1" x14ac:dyDescent="0.25">
      <c r="A20" s="16" t="s">
        <v>111</v>
      </c>
      <c r="B20" s="293" t="s">
        <v>249</v>
      </c>
      <c r="C20" s="300"/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0</v>
      </c>
    </row>
    <row r="22" spans="1:3" s="424" customFormat="1" ht="12" customHeight="1" x14ac:dyDescent="0.2">
      <c r="A22" s="15" t="s">
        <v>81</v>
      </c>
      <c r="B22" s="425" t="s">
        <v>251</v>
      </c>
      <c r="C22" s="299"/>
    </row>
    <row r="23" spans="1:3" s="424" customFormat="1" ht="12" customHeight="1" x14ac:dyDescent="0.2">
      <c r="A23" s="14" t="s">
        <v>82</v>
      </c>
      <c r="B23" s="426" t="s">
        <v>252</v>
      </c>
      <c r="C23" s="298"/>
    </row>
    <row r="24" spans="1:3" s="424" customFormat="1" ht="12" customHeight="1" x14ac:dyDescent="0.2">
      <c r="A24" s="14" t="s">
        <v>83</v>
      </c>
      <c r="B24" s="426" t="s">
        <v>416</v>
      </c>
      <c r="C24" s="298"/>
    </row>
    <row r="25" spans="1:3" s="424" customFormat="1" ht="12" customHeight="1" x14ac:dyDescent="0.2">
      <c r="A25" s="14" t="s">
        <v>84</v>
      </c>
      <c r="B25" s="426" t="s">
        <v>417</v>
      </c>
      <c r="C25" s="298"/>
    </row>
    <row r="26" spans="1:3" s="424" customFormat="1" ht="12" customHeight="1" x14ac:dyDescent="0.2">
      <c r="A26" s="14" t="s">
        <v>160</v>
      </c>
      <c r="B26" s="426" t="s">
        <v>253</v>
      </c>
      <c r="C26" s="298"/>
    </row>
    <row r="27" spans="1:3" s="424" customFormat="1" ht="12" customHeight="1" thickBot="1" x14ac:dyDescent="0.25">
      <c r="A27" s="16" t="s">
        <v>161</v>
      </c>
      <c r="B27" s="427" t="s">
        <v>254</v>
      </c>
      <c r="C27" s="300"/>
    </row>
    <row r="28" spans="1:3" s="424" customFormat="1" ht="12" customHeight="1" thickBot="1" x14ac:dyDescent="0.25">
      <c r="A28" s="20" t="s">
        <v>162</v>
      </c>
      <c r="B28" s="21" t="s">
        <v>538</v>
      </c>
      <c r="C28" s="302">
        <f>SUM(C29:C36)</f>
        <v>1760872</v>
      </c>
    </row>
    <row r="29" spans="1:3" s="424" customFormat="1" ht="12" customHeight="1" x14ac:dyDescent="0.2">
      <c r="A29" s="15" t="s">
        <v>256</v>
      </c>
      <c r="B29" s="425" t="s">
        <v>542</v>
      </c>
      <c r="C29" s="299"/>
    </row>
    <row r="30" spans="1:3" s="424" customFormat="1" ht="12" customHeight="1" x14ac:dyDescent="0.2">
      <c r="A30" s="14" t="s">
        <v>257</v>
      </c>
      <c r="B30" s="426" t="s">
        <v>543</v>
      </c>
      <c r="C30" s="298"/>
    </row>
    <row r="31" spans="1:3" s="424" customFormat="1" ht="12" customHeight="1" x14ac:dyDescent="0.2">
      <c r="A31" s="14" t="s">
        <v>258</v>
      </c>
      <c r="B31" s="426" t="s">
        <v>618</v>
      </c>
      <c r="C31" s="298"/>
    </row>
    <row r="32" spans="1:3" s="424" customFormat="1" ht="12" customHeight="1" x14ac:dyDescent="0.2">
      <c r="A32" s="14" t="s">
        <v>259</v>
      </c>
      <c r="B32" s="426" t="s">
        <v>544</v>
      </c>
      <c r="C32" s="298">
        <f>'9.1.2. sz. mell ÖNK'!C35</f>
        <v>1760872</v>
      </c>
    </row>
    <row r="33" spans="1:3" s="424" customFormat="1" ht="12" customHeight="1" x14ac:dyDescent="0.2">
      <c r="A33" s="14" t="s">
        <v>539</v>
      </c>
      <c r="B33" s="426" t="s">
        <v>545</v>
      </c>
      <c r="C33" s="298"/>
    </row>
    <row r="34" spans="1:3" s="424" customFormat="1" ht="12" customHeight="1" x14ac:dyDescent="0.2">
      <c r="A34" s="14" t="s">
        <v>540</v>
      </c>
      <c r="B34" s="426" t="s">
        <v>260</v>
      </c>
      <c r="C34" s="298"/>
    </row>
    <row r="35" spans="1:3" s="424" customFormat="1" ht="12" customHeight="1" x14ac:dyDescent="0.2">
      <c r="A35" s="16" t="s">
        <v>541</v>
      </c>
      <c r="B35" s="426" t="s">
        <v>261</v>
      </c>
      <c r="C35" s="298"/>
    </row>
    <row r="36" spans="1:3" s="424" customFormat="1" ht="12" customHeight="1" thickBot="1" x14ac:dyDescent="0.25">
      <c r="A36" s="16" t="s">
        <v>619</v>
      </c>
      <c r="B36" s="522" t="s">
        <v>262</v>
      </c>
      <c r="C36" s="300"/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22902020</v>
      </c>
    </row>
    <row r="38" spans="1:3" s="424" customFormat="1" ht="12" customHeight="1" x14ac:dyDescent="0.2">
      <c r="A38" s="15" t="s">
        <v>85</v>
      </c>
      <c r="B38" s="425" t="s">
        <v>265</v>
      </c>
      <c r="C38" s="299">
        <f>'9.3.2. sz. mell GAM'!C9+'9.4.2. sz. mell ILMKS'!C9</f>
        <v>1000000</v>
      </c>
    </row>
    <row r="39" spans="1:3" s="424" customFormat="1" ht="12" customHeight="1" x14ac:dyDescent="0.2">
      <c r="A39" s="14" t="s">
        <v>86</v>
      </c>
      <c r="B39" s="426" t="s">
        <v>266</v>
      </c>
      <c r="C39" s="299">
        <f>'9.3.2. sz. mell GAM'!C10+'9.4.2. sz. mell ILMKS'!C10</f>
        <v>17033087</v>
      </c>
    </row>
    <row r="40" spans="1:3" s="424" customFormat="1" ht="12" customHeight="1" x14ac:dyDescent="0.2">
      <c r="A40" s="14" t="s">
        <v>87</v>
      </c>
      <c r="B40" s="426" t="s">
        <v>267</v>
      </c>
      <c r="C40" s="299">
        <f>'9.3.2. sz. mell GAM'!C11+'9.4.2. sz. mell ILMKS'!C11</f>
        <v>0</v>
      </c>
    </row>
    <row r="41" spans="1:3" s="424" customFormat="1" ht="12" customHeight="1" x14ac:dyDescent="0.2">
      <c r="A41" s="14" t="s">
        <v>164</v>
      </c>
      <c r="B41" s="426" t="s">
        <v>268</v>
      </c>
      <c r="C41" s="299">
        <f>'9.3.2. sz. mell GAM'!C12+'9.4.2. sz. mell ILMKS'!C12</f>
        <v>0</v>
      </c>
    </row>
    <row r="42" spans="1:3" s="424" customFormat="1" ht="12" customHeight="1" x14ac:dyDescent="0.2">
      <c r="A42" s="14" t="s">
        <v>165</v>
      </c>
      <c r="B42" s="426" t="s">
        <v>269</v>
      </c>
      <c r="C42" s="299">
        <f>'9.3.2. sz. mell GAM'!C13+'9.4.2. sz. mell ILMKS'!C13</f>
        <v>0</v>
      </c>
    </row>
    <row r="43" spans="1:3" s="424" customFormat="1" ht="12" customHeight="1" x14ac:dyDescent="0.2">
      <c r="A43" s="14" t="s">
        <v>166</v>
      </c>
      <c r="B43" s="426" t="s">
        <v>270</v>
      </c>
      <c r="C43" s="299">
        <f>'9.3.2. sz. mell GAM'!C14+'9.4.2. sz. mell ILMKS'!C14</f>
        <v>4868933</v>
      </c>
    </row>
    <row r="44" spans="1:3" s="424" customFormat="1" ht="12" customHeight="1" x14ac:dyDescent="0.2">
      <c r="A44" s="14" t="s">
        <v>167</v>
      </c>
      <c r="B44" s="426" t="s">
        <v>271</v>
      </c>
      <c r="C44" s="298"/>
    </row>
    <row r="45" spans="1:3" s="424" customFormat="1" ht="12" customHeight="1" x14ac:dyDescent="0.2">
      <c r="A45" s="14" t="s">
        <v>168</v>
      </c>
      <c r="B45" s="426" t="s">
        <v>546</v>
      </c>
      <c r="C45" s="298"/>
    </row>
    <row r="46" spans="1:3" s="424" customFormat="1" ht="12" customHeight="1" x14ac:dyDescent="0.2">
      <c r="A46" s="14" t="s">
        <v>263</v>
      </c>
      <c r="B46" s="426" t="s">
        <v>273</v>
      </c>
      <c r="C46" s="301"/>
    </row>
    <row r="47" spans="1:3" s="424" customFormat="1" ht="12" customHeight="1" x14ac:dyDescent="0.2">
      <c r="A47" s="16" t="s">
        <v>264</v>
      </c>
      <c r="B47" s="427" t="s">
        <v>428</v>
      </c>
      <c r="C47" s="411"/>
    </row>
    <row r="48" spans="1:3" s="424" customFormat="1" ht="12" customHeight="1" thickBot="1" x14ac:dyDescent="0.25">
      <c r="A48" s="16" t="s">
        <v>427</v>
      </c>
      <c r="B48" s="293" t="s">
        <v>274</v>
      </c>
      <c r="C48" s="411"/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0</v>
      </c>
    </row>
    <row r="50" spans="1:3" s="424" customFormat="1" ht="12" customHeight="1" x14ac:dyDescent="0.2">
      <c r="A50" s="15" t="s">
        <v>88</v>
      </c>
      <c r="B50" s="425" t="s">
        <v>279</v>
      </c>
      <c r="C50" s="470"/>
    </row>
    <row r="51" spans="1:3" s="424" customFormat="1" ht="12" customHeight="1" x14ac:dyDescent="0.2">
      <c r="A51" s="14" t="s">
        <v>89</v>
      </c>
      <c r="B51" s="426" t="s">
        <v>280</v>
      </c>
      <c r="C51" s="301"/>
    </row>
    <row r="52" spans="1:3" s="424" customFormat="1" ht="12" customHeight="1" x14ac:dyDescent="0.2">
      <c r="A52" s="14" t="s">
        <v>276</v>
      </c>
      <c r="B52" s="426" t="s">
        <v>281</v>
      </c>
      <c r="C52" s="301"/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/>
    </row>
    <row r="57" spans="1:3" s="424" customFormat="1" ht="12" customHeight="1" x14ac:dyDescent="0.2">
      <c r="A57" s="14" t="s">
        <v>91</v>
      </c>
      <c r="B57" s="426" t="s">
        <v>418</v>
      </c>
      <c r="C57" s="298"/>
    </row>
    <row r="58" spans="1:3" s="424" customFormat="1" ht="12" customHeight="1" x14ac:dyDescent="0.2">
      <c r="A58" s="14" t="s">
        <v>288</v>
      </c>
      <c r="B58" s="426" t="s">
        <v>286</v>
      </c>
      <c r="C58" s="298"/>
    </row>
    <row r="59" spans="1:3" s="424" customFormat="1" ht="12" customHeight="1" thickBot="1" x14ac:dyDescent="0.25">
      <c r="A59" s="16" t="s">
        <v>289</v>
      </c>
      <c r="B59" s="293" t="s">
        <v>287</v>
      </c>
      <c r="C59" s="300"/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/>
    </row>
    <row r="62" spans="1:3" s="424" customFormat="1" ht="12" customHeight="1" x14ac:dyDescent="0.2">
      <c r="A62" s="14" t="s">
        <v>171</v>
      </c>
      <c r="B62" s="426" t="s">
        <v>419</v>
      </c>
      <c r="C62" s="301"/>
    </row>
    <row r="63" spans="1:3" s="424" customFormat="1" ht="12" customHeight="1" x14ac:dyDescent="0.2">
      <c r="A63" s="14" t="s">
        <v>216</v>
      </c>
      <c r="B63" s="426" t="s">
        <v>293</v>
      </c>
      <c r="C63" s="301"/>
    </row>
    <row r="64" spans="1:3" s="424" customFormat="1" ht="12" customHeight="1" thickBot="1" x14ac:dyDescent="0.25">
      <c r="A64" s="16" t="s">
        <v>291</v>
      </c>
      <c r="B64" s="293" t="s">
        <v>294</v>
      </c>
      <c r="C64" s="301"/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33690402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/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0</v>
      </c>
    </row>
    <row r="76" spans="1:3" s="424" customFormat="1" ht="12" customHeight="1" x14ac:dyDescent="0.2">
      <c r="A76" s="15" t="s">
        <v>331</v>
      </c>
      <c r="B76" s="425" t="s">
        <v>309</v>
      </c>
      <c r="C76" s="301"/>
    </row>
    <row r="77" spans="1:3" s="424" customFormat="1" ht="12" customHeight="1" thickBot="1" x14ac:dyDescent="0.25">
      <c r="A77" s="16" t="s">
        <v>332</v>
      </c>
      <c r="B77" s="293" t="s">
        <v>310</v>
      </c>
      <c r="C77" s="301"/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0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33690402</v>
      </c>
    </row>
    <row r="91" spans="1:3" s="424" customFormat="1" ht="34.5" customHeight="1" x14ac:dyDescent="0.2">
      <c r="A91" s="5"/>
      <c r="B91" s="6"/>
      <c r="C91" s="303"/>
    </row>
    <row r="92" spans="1:3" ht="16.5" customHeight="1" x14ac:dyDescent="0.25">
      <c r="A92" s="670" t="s">
        <v>44</v>
      </c>
      <c r="B92" s="670"/>
      <c r="C92" s="670"/>
    </row>
    <row r="93" spans="1:3" s="434" customFormat="1" ht="16.5" customHeight="1" thickBot="1" x14ac:dyDescent="0.3">
      <c r="A93" s="672" t="s">
        <v>146</v>
      </c>
      <c r="B93" s="672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2020.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43206499</v>
      </c>
    </row>
    <row r="97" spans="1:3" ht="12" customHeight="1" x14ac:dyDescent="0.25">
      <c r="A97" s="17" t="s">
        <v>92</v>
      </c>
      <c r="B97" s="10" t="s">
        <v>46</v>
      </c>
      <c r="C97" s="297">
        <f>'9.1.2. sz. mell ÖNK'!C97+'9.3.2. sz. mell GAM'!C46+'9.4.2. sz. mell ILMKS'!C46</f>
        <v>15545123</v>
      </c>
    </row>
    <row r="98" spans="1:3" ht="12" customHeight="1" x14ac:dyDescent="0.25">
      <c r="A98" s="14" t="s">
        <v>93</v>
      </c>
      <c r="B98" s="8" t="s">
        <v>172</v>
      </c>
      <c r="C98" s="298">
        <f>'9.1.2. sz. mell ÖNK'!C98+'9.3.2. sz. mell GAM'!C47+'9.4.2. sz. mell ILMKS'!C47</f>
        <v>2900927</v>
      </c>
    </row>
    <row r="99" spans="1:3" ht="12" customHeight="1" x14ac:dyDescent="0.25">
      <c r="A99" s="14" t="s">
        <v>94</v>
      </c>
      <c r="B99" s="8" t="s">
        <v>134</v>
      </c>
      <c r="C99" s="298">
        <f>'9.1.2. sz. mell ÖNK'!C99+'9.3.2. sz. mell GAM'!C48+'9.4.2. sz. mell ILMKS'!C48</f>
        <v>24760449</v>
      </c>
    </row>
    <row r="100" spans="1:3" ht="12" customHeight="1" x14ac:dyDescent="0.25">
      <c r="A100" s="14" t="s">
        <v>95</v>
      </c>
      <c r="B100" s="11" t="s">
        <v>173</v>
      </c>
      <c r="C100" s="298">
        <f>'9.1.2. sz. mell ÖNK'!C100+'9.3.2. sz. mell GAM'!C49+'9.4.2. sz. mell ILMKS'!C49</f>
        <v>0</v>
      </c>
    </row>
    <row r="101" spans="1:3" ht="12" customHeight="1" x14ac:dyDescent="0.25">
      <c r="A101" s="14" t="s">
        <v>106</v>
      </c>
      <c r="B101" s="19" t="s">
        <v>174</v>
      </c>
      <c r="C101" s="299">
        <f>'9.1.2. sz. mell ÖNK'!C101+'9.3.2. sz. mell GAM'!C50+'9.4.2. sz. mell ILMKS'!C50</f>
        <v>0</v>
      </c>
    </row>
    <row r="102" spans="1:3" ht="12" customHeight="1" x14ac:dyDescent="0.25">
      <c r="A102" s="14" t="s">
        <v>96</v>
      </c>
      <c r="B102" s="8" t="s">
        <v>434</v>
      </c>
      <c r="C102" s="300"/>
    </row>
    <row r="103" spans="1:3" ht="12" customHeight="1" x14ac:dyDescent="0.25">
      <c r="A103" s="14" t="s">
        <v>97</v>
      </c>
      <c r="B103" s="151" t="s">
        <v>433</v>
      </c>
      <c r="C103" s="300"/>
    </row>
    <row r="104" spans="1:3" ht="12" customHeight="1" x14ac:dyDescent="0.25">
      <c r="A104" s="14" t="s">
        <v>107</v>
      </c>
      <c r="B104" s="151" t="s">
        <v>432</v>
      </c>
      <c r="C104" s="300"/>
    </row>
    <row r="105" spans="1:3" ht="12" customHeight="1" x14ac:dyDescent="0.25">
      <c r="A105" s="14" t="s">
        <v>108</v>
      </c>
      <c r="B105" s="149" t="s">
        <v>342</v>
      </c>
      <c r="C105" s="300"/>
    </row>
    <row r="106" spans="1:3" ht="12" customHeight="1" x14ac:dyDescent="0.25">
      <c r="A106" s="14" t="s">
        <v>109</v>
      </c>
      <c r="B106" s="150" t="s">
        <v>343</v>
      </c>
      <c r="C106" s="300"/>
    </row>
    <row r="107" spans="1:3" ht="12" customHeight="1" x14ac:dyDescent="0.25">
      <c r="A107" s="14" t="s">
        <v>110</v>
      </c>
      <c r="B107" s="150" t="s">
        <v>344</v>
      </c>
      <c r="C107" s="300"/>
    </row>
    <row r="108" spans="1:3" ht="12" customHeight="1" x14ac:dyDescent="0.25">
      <c r="A108" s="14" t="s">
        <v>112</v>
      </c>
      <c r="B108" s="149" t="s">
        <v>345</v>
      </c>
      <c r="C108" s="300"/>
    </row>
    <row r="109" spans="1:3" ht="12" customHeight="1" x14ac:dyDescent="0.25">
      <c r="A109" s="14" t="s">
        <v>175</v>
      </c>
      <c r="B109" s="149" t="s">
        <v>346</v>
      </c>
      <c r="C109" s="300"/>
    </row>
    <row r="110" spans="1:3" ht="12" customHeight="1" x14ac:dyDescent="0.25">
      <c r="A110" s="14" t="s">
        <v>340</v>
      </c>
      <c r="B110" s="150" t="s">
        <v>347</v>
      </c>
      <c r="C110" s="300"/>
    </row>
    <row r="111" spans="1:3" ht="12" customHeight="1" x14ac:dyDescent="0.25">
      <c r="A111" s="13" t="s">
        <v>341</v>
      </c>
      <c r="B111" s="151" t="s">
        <v>348</v>
      </c>
      <c r="C111" s="300"/>
    </row>
    <row r="112" spans="1:3" ht="12" customHeight="1" x14ac:dyDescent="0.25">
      <c r="A112" s="14" t="s">
        <v>430</v>
      </c>
      <c r="B112" s="151" t="s">
        <v>349</v>
      </c>
      <c r="C112" s="300"/>
    </row>
    <row r="113" spans="1:3" ht="12" customHeight="1" x14ac:dyDescent="0.25">
      <c r="A113" s="16" t="s">
        <v>431</v>
      </c>
      <c r="B113" s="151" t="s">
        <v>350</v>
      </c>
      <c r="C113" s="300">
        <f>'9.1.2. sz. mell ÖNK'!C113</f>
        <v>0</v>
      </c>
    </row>
    <row r="114" spans="1:3" ht="12" customHeight="1" x14ac:dyDescent="0.25">
      <c r="A114" s="14" t="s">
        <v>435</v>
      </c>
      <c r="B114" s="11" t="s">
        <v>47</v>
      </c>
      <c r="C114" s="298"/>
    </row>
    <row r="115" spans="1:3" ht="12" customHeight="1" x14ac:dyDescent="0.25">
      <c r="A115" s="14" t="s">
        <v>436</v>
      </c>
      <c r="B115" s="8" t="s">
        <v>438</v>
      </c>
      <c r="C115" s="298"/>
    </row>
    <row r="116" spans="1:3" ht="12" customHeight="1" thickBot="1" x14ac:dyDescent="0.3">
      <c r="A116" s="18" t="s">
        <v>437</v>
      </c>
      <c r="B116" s="492" t="s">
        <v>439</v>
      </c>
      <c r="C116" s="304"/>
    </row>
    <row r="117" spans="1:3" ht="12" customHeight="1" thickBot="1" x14ac:dyDescent="0.3">
      <c r="A117" s="489" t="s">
        <v>16</v>
      </c>
      <c r="B117" s="490" t="s">
        <v>351</v>
      </c>
      <c r="C117" s="491">
        <f>+C118+C120+C122</f>
        <v>0</v>
      </c>
    </row>
    <row r="118" spans="1:3" ht="12" customHeight="1" x14ac:dyDescent="0.25">
      <c r="A118" s="15" t="s">
        <v>98</v>
      </c>
      <c r="B118" s="8" t="s">
        <v>214</v>
      </c>
      <c r="C118" s="299"/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/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/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43206499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0</v>
      </c>
    </row>
    <row r="133" spans="1:3" ht="12" customHeight="1" x14ac:dyDescent="0.25">
      <c r="A133" s="15" t="s">
        <v>256</v>
      </c>
      <c r="B133" s="12" t="s">
        <v>448</v>
      </c>
      <c r="C133" s="279"/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0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/>
    </row>
    <row r="146" spans="1:9" ht="12" customHeight="1" x14ac:dyDescent="0.25">
      <c r="A146" s="15" t="s">
        <v>276</v>
      </c>
      <c r="B146" s="9" t="s">
        <v>456</v>
      </c>
      <c r="C146" s="279"/>
    </row>
    <row r="147" spans="1:9" ht="12" customHeight="1" thickBot="1" x14ac:dyDescent="0.3">
      <c r="A147" s="13" t="s">
        <v>277</v>
      </c>
      <c r="B147" s="7" t="s">
        <v>382</v>
      </c>
      <c r="C147" s="279"/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0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43206499</v>
      </c>
    </row>
    <row r="158" spans="1:9" ht="7.5" customHeight="1" x14ac:dyDescent="0.25"/>
    <row r="159" spans="1:9" x14ac:dyDescent="0.25">
      <c r="A159" s="673" t="s">
        <v>364</v>
      </c>
      <c r="B159" s="673"/>
      <c r="C159" s="673"/>
    </row>
    <row r="160" spans="1:9" ht="15" customHeight="1" thickBot="1" x14ac:dyDescent="0.3">
      <c r="A160" s="671" t="s">
        <v>147</v>
      </c>
      <c r="B160" s="671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-9516097</v>
      </c>
      <c r="D161" s="438"/>
    </row>
    <row r="162" spans="1:4" ht="27.75" customHeight="1" thickBot="1" x14ac:dyDescent="0.3">
      <c r="A162" s="20" t="s">
        <v>16</v>
      </c>
      <c r="B162" s="27" t="s">
        <v>559</v>
      </c>
      <c r="C162" s="296">
        <f>+C89-C156</f>
        <v>0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2020. ÉVI KÖLTSÉGVETÉS
ÖNKÉNT VÁLLALT FELADATAINAK MÉRLEGE
&amp;R&amp;"Times New Roman CE,Félkövér dőlt"&amp;11 1.3. melléklet a .../2020. (....) önkormányzati rendelethez</oddHeader>
  </headerFooter>
  <rowBreaks count="1" manualBreakCount="1">
    <brk id="90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B7" sqref="B7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0" t="s">
        <v>12</v>
      </c>
      <c r="B1" s="670"/>
      <c r="C1" s="670"/>
      <c r="D1" s="670"/>
      <c r="E1" s="670"/>
    </row>
    <row r="2" spans="1:5" ht="15.95" customHeight="1" thickBot="1" x14ac:dyDescent="0.3">
      <c r="A2" s="671" t="s">
        <v>145</v>
      </c>
      <c r="B2" s="671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2018. évi tény</v>
      </c>
      <c r="D3" s="413" t="str">
        <f>+CONCATENATE(LEFT(ÖSSZEFÜGGÉSEK!A5,4)-1,". évi várható")</f>
        <v>2019. évi várható</v>
      </c>
      <c r="E3" s="168" t="str">
        <f>+'1.1.sz.mell.'!C3</f>
        <v>2020.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510799</v>
      </c>
      <c r="D5" s="405">
        <v>514009</v>
      </c>
      <c r="E5" s="278">
        <v>504988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502266</v>
      </c>
      <c r="D12" s="405">
        <v>270174</v>
      </c>
      <c r="E12" s="278">
        <v>149362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111833</v>
      </c>
      <c r="D19" s="405">
        <v>10719</v>
      </c>
      <c r="E19" s="278">
        <v>369130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125704</v>
      </c>
      <c r="D26" s="412">
        <v>133239</v>
      </c>
      <c r="E26" s="456">
        <v>145765</v>
      </c>
    </row>
    <row r="27" spans="1:5" s="1" customFormat="1" ht="12" customHeight="1" x14ac:dyDescent="0.2">
      <c r="A27" s="15" t="s">
        <v>256</v>
      </c>
      <c r="B27" s="425" t="s">
        <v>542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543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544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545</v>
      </c>
      <c r="C30" s="406"/>
      <c r="D30" s="406"/>
      <c r="E30" s="298"/>
    </row>
    <row r="31" spans="1:5" s="1" customFormat="1" ht="12" customHeight="1" x14ac:dyDescent="0.2">
      <c r="A31" s="14" t="s">
        <v>539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540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541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97869</v>
      </c>
      <c r="D34" s="405">
        <v>108208</v>
      </c>
      <c r="E34" s="278">
        <v>94236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546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17468</v>
      </c>
      <c r="D46" s="405">
        <v>42590</v>
      </c>
      <c r="E46" s="278">
        <v>10200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133</v>
      </c>
      <c r="D57" s="405">
        <v>935</v>
      </c>
      <c r="E57" s="278"/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1366072</v>
      </c>
      <c r="D62" s="412">
        <f>+D5+D12+D19+D26+D34+D46+D52+D57</f>
        <v>1079874</v>
      </c>
      <c r="E62" s="456">
        <f>+E5+E12+E19+E26+E34+E46+E52+E57</f>
        <v>1273681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16400</v>
      </c>
      <c r="D63" s="405">
        <f>SUM(D64:D66)</f>
        <v>0</v>
      </c>
      <c r="E63" s="278">
        <f>SUM(E64:E66)</f>
        <v>0</v>
      </c>
    </row>
    <row r="64" spans="1:5" s="1" customFormat="1" ht="12" customHeight="1" x14ac:dyDescent="0.2">
      <c r="A64" s="15" t="s">
        <v>328</v>
      </c>
      <c r="B64" s="425" t="s">
        <v>298</v>
      </c>
      <c r="C64" s="409">
        <v>16400</v>
      </c>
      <c r="D64" s="409"/>
      <c r="E64" s="282"/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752952</v>
      </c>
      <c r="D72" s="405">
        <f>SUM(D73:D74)</f>
        <v>952493</v>
      </c>
      <c r="E72" s="278">
        <f>SUM(E73:E74)</f>
        <v>613650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751966</v>
      </c>
      <c r="D73" s="409">
        <v>951562</v>
      </c>
      <c r="E73" s="282">
        <v>613650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986</v>
      </c>
      <c r="D74" s="409">
        <v>931</v>
      </c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17448</v>
      </c>
      <c r="D75" s="405">
        <f>SUM(D76:D78)</f>
        <v>19567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17448</v>
      </c>
      <c r="D76" s="409">
        <v>19567</v>
      </c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786800</v>
      </c>
      <c r="D86" s="412">
        <f>+D63+D67+D72+D75+D79+D85+D84</f>
        <v>972060</v>
      </c>
      <c r="E86" s="456">
        <f>+E63+E67+E72+E75+E79+E85+E84</f>
        <v>613650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2152872</v>
      </c>
      <c r="D87" s="412">
        <f>+D62+D86</f>
        <v>2051934</v>
      </c>
      <c r="E87" s="456">
        <f>+E62+E86</f>
        <v>1887331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0" t="s">
        <v>44</v>
      </c>
      <c r="B89" s="670"/>
      <c r="C89" s="670"/>
      <c r="D89" s="670"/>
      <c r="E89" s="670"/>
    </row>
    <row r="90" spans="1:6" s="1" customFormat="1" ht="12" customHeight="1" thickBot="1" x14ac:dyDescent="0.25">
      <c r="A90" s="672" t="s">
        <v>146</v>
      </c>
      <c r="B90" s="672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2018. évi tény</v>
      </c>
      <c r="D91" s="24" t="str">
        <f>+D3</f>
        <v>2019. évi várható</v>
      </c>
      <c r="E91" s="168" t="str">
        <f>+E3</f>
        <v>2020.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969624</v>
      </c>
      <c r="D93" s="404">
        <f>D94+D95+D96+D97+D98+D111</f>
        <v>1005870</v>
      </c>
      <c r="E93" s="498">
        <f>E94+E95+E96+E97+E98+E111</f>
        <v>1168147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484925</v>
      </c>
      <c r="D94" s="505">
        <v>486098</v>
      </c>
      <c r="E94" s="499">
        <v>497222</v>
      </c>
    </row>
    <row r="95" spans="1:6" ht="16.5" customHeight="1" x14ac:dyDescent="0.25">
      <c r="A95" s="14" t="s">
        <v>93</v>
      </c>
      <c r="B95" s="8" t="s">
        <v>172</v>
      </c>
      <c r="C95" s="406">
        <v>82327</v>
      </c>
      <c r="D95" s="406">
        <v>80427</v>
      </c>
      <c r="E95" s="279">
        <v>81243</v>
      </c>
    </row>
    <row r="96" spans="1:6" x14ac:dyDescent="0.25">
      <c r="A96" s="14" t="s">
        <v>94</v>
      </c>
      <c r="B96" s="8" t="s">
        <v>134</v>
      </c>
      <c r="C96" s="408">
        <v>359295</v>
      </c>
      <c r="D96" s="408">
        <v>377369</v>
      </c>
      <c r="E96" s="281">
        <v>523982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16537</v>
      </c>
      <c r="D97" s="408">
        <v>24006</v>
      </c>
      <c r="E97" s="281">
        <v>28450</v>
      </c>
    </row>
    <row r="98" spans="1:5" ht="12" customHeight="1" x14ac:dyDescent="0.25">
      <c r="A98" s="14" t="s">
        <v>106</v>
      </c>
      <c r="B98" s="19" t="s">
        <v>174</v>
      </c>
      <c r="C98" s="408">
        <v>26540</v>
      </c>
      <c r="D98" s="408">
        <v>37970</v>
      </c>
      <c r="E98" s="281">
        <v>37250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/>
      <c r="E111" s="279"/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207278</v>
      </c>
      <c r="D114" s="507">
        <f>+D115+D117+D119</f>
        <v>293855</v>
      </c>
      <c r="E114" s="501">
        <f>+E115+E117+E119</f>
        <v>687684</v>
      </c>
    </row>
    <row r="115" spans="1:5" ht="12" customHeight="1" x14ac:dyDescent="0.25">
      <c r="A115" s="15" t="s">
        <v>98</v>
      </c>
      <c r="B115" s="8" t="s">
        <v>214</v>
      </c>
      <c r="C115" s="407">
        <v>188382</v>
      </c>
      <c r="D115" s="407">
        <v>254475</v>
      </c>
      <c r="E115" s="280">
        <v>660354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14827</v>
      </c>
      <c r="D117" s="406">
        <v>39380</v>
      </c>
      <c r="E117" s="279">
        <v>27330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>
        <v>4069</v>
      </c>
      <c r="D119" s="406"/>
      <c r="E119" s="279"/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1176902</v>
      </c>
      <c r="D128" s="405">
        <f>+D93+D114</f>
        <v>1299725</v>
      </c>
      <c r="E128" s="278">
        <f>+E93+E114</f>
        <v>1855831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3837</v>
      </c>
      <c r="D129" s="405">
        <f>+D130+D131+D132</f>
        <v>5875</v>
      </c>
      <c r="E129" s="278">
        <f>+E130+E131+E132</f>
        <v>11440</v>
      </c>
    </row>
    <row r="130" spans="1:5" ht="12" customHeight="1" x14ac:dyDescent="0.25">
      <c r="A130" s="15" t="s">
        <v>256</v>
      </c>
      <c r="B130" s="12" t="s">
        <v>448</v>
      </c>
      <c r="C130" s="406">
        <v>3837</v>
      </c>
      <c r="D130" s="406">
        <v>5875</v>
      </c>
      <c r="E130" s="279">
        <v>11440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19640</v>
      </c>
      <c r="D140" s="412">
        <f>+D141+D142+D143+D144</f>
        <v>18567</v>
      </c>
      <c r="E140" s="456">
        <f>+E141+E142+E143+E144</f>
        <v>20060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18607</v>
      </c>
      <c r="D142" s="406">
        <v>17448</v>
      </c>
      <c r="E142" s="279">
        <v>19567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1033</v>
      </c>
      <c r="D144" s="406">
        <v>1119</v>
      </c>
      <c r="E144" s="279">
        <v>493</v>
      </c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23477</v>
      </c>
      <c r="D153" s="510">
        <f>+D129+D133+D140+D145+D151+D152</f>
        <v>24442</v>
      </c>
      <c r="E153" s="504">
        <f>+E129+E133+E140+E145+E151+E152</f>
        <v>31500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1200379</v>
      </c>
      <c r="D154" s="510">
        <f>+D128+D153</f>
        <v>1324167</v>
      </c>
      <c r="E154" s="504">
        <f>+E128+E153</f>
        <v>1887331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2020.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4" zoomScaleNormal="100" workbookViewId="0">
      <selection activeCell="E30" sqref="E30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01" t="s">
        <v>645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1" ht="15.75" customHeight="1" thickBot="1" x14ac:dyDescent="0.3">
      <c r="J2" s="586" t="s">
        <v>58</v>
      </c>
    </row>
    <row r="3" spans="1:11" s="587" customFormat="1" ht="15" customHeight="1" x14ac:dyDescent="0.2">
      <c r="A3" s="702" t="s">
        <v>66</v>
      </c>
      <c r="B3" s="704" t="s">
        <v>646</v>
      </c>
      <c r="C3" s="706" t="s">
        <v>647</v>
      </c>
      <c r="D3" s="702" t="s">
        <v>648</v>
      </c>
      <c r="E3" s="702" t="str">
        <f>+CONCATENATE(LEFT(ÖSSZEFÜGGÉSEK!A5,4)," előtti kifizetés")</f>
        <v>2020 előtti kifizetés</v>
      </c>
      <c r="F3" s="708" t="s">
        <v>649</v>
      </c>
      <c r="G3" s="709"/>
      <c r="H3" s="709"/>
      <c r="I3" s="710"/>
      <c r="J3" s="704" t="s">
        <v>48</v>
      </c>
    </row>
    <row r="4" spans="1:11" s="590" customFormat="1" ht="23.25" customHeight="1" thickBot="1" x14ac:dyDescent="0.25">
      <c r="A4" s="703"/>
      <c r="B4" s="705"/>
      <c r="C4" s="707"/>
      <c r="D4" s="703"/>
      <c r="E4" s="703"/>
      <c r="F4" s="588" t="str">
        <f>+CONCATENATE(LEFT(ÖSSZEFÜGGÉSEK!A5,4),".")</f>
        <v>2020.</v>
      </c>
      <c r="G4" s="588" t="str">
        <f>+CONCATENATE(LEFT(ÖSSZEFÜGGÉSEK!A5,4)+1,".")</f>
        <v>2021.</v>
      </c>
      <c r="H4" s="588" t="str">
        <f>+CONCATENATE(LEFT(ÖSSZEFÜGGÉSEK!A5,4)+2,".")</f>
        <v>2022.</v>
      </c>
      <c r="I4" s="589" t="str">
        <f>+CONCATENATE(LEFT(ÖSSZEFÜGGÉSEK!A5,4)+2,".",CHAR(10)," után")</f>
        <v>2022.
 után</v>
      </c>
      <c r="J4" s="705"/>
    </row>
    <row r="5" spans="1:11" s="596" customFormat="1" ht="12.95" customHeight="1" thickBot="1" x14ac:dyDescent="0.25">
      <c r="A5" s="591" t="s">
        <v>484</v>
      </c>
      <c r="B5" s="592" t="s">
        <v>485</v>
      </c>
      <c r="C5" s="593" t="s">
        <v>486</v>
      </c>
      <c r="D5" s="592" t="s">
        <v>488</v>
      </c>
      <c r="E5" s="592" t="s">
        <v>487</v>
      </c>
      <c r="F5" s="591" t="s">
        <v>650</v>
      </c>
      <c r="G5" s="593" t="s">
        <v>651</v>
      </c>
      <c r="H5" s="593" t="s">
        <v>652</v>
      </c>
      <c r="I5" s="594" t="s">
        <v>653</v>
      </c>
      <c r="J5" s="595" t="s">
        <v>654</v>
      </c>
    </row>
    <row r="6" spans="1:11" ht="24.75" customHeight="1" thickBot="1" x14ac:dyDescent="0.25">
      <c r="A6" s="597" t="s">
        <v>15</v>
      </c>
      <c r="B6" s="598" t="s">
        <v>655</v>
      </c>
      <c r="C6" s="599"/>
      <c r="D6" s="600"/>
      <c r="E6" s="601">
        <f>+E7+E8</f>
        <v>0</v>
      </c>
      <c r="F6" s="602">
        <f>+F7+F8</f>
        <v>0</v>
      </c>
      <c r="G6" s="603">
        <f>+G7+G8</f>
        <v>0</v>
      </c>
      <c r="H6" s="603">
        <f>+H7+H8</f>
        <v>0</v>
      </c>
      <c r="I6" s="604">
        <f>+I7+I8</f>
        <v>0</v>
      </c>
      <c r="J6" s="601">
        <f t="shared" ref="J6:J29" si="0">SUM(E6:I6)</f>
        <v>0</v>
      </c>
    </row>
    <row r="7" spans="1:11" ht="15.75" customHeight="1" x14ac:dyDescent="0.2">
      <c r="A7" s="605" t="s">
        <v>16</v>
      </c>
      <c r="B7" s="606" t="s">
        <v>656</v>
      </c>
      <c r="C7" s="607"/>
      <c r="D7" s="608"/>
      <c r="E7" s="609"/>
      <c r="F7" s="610"/>
      <c r="G7" s="25"/>
      <c r="H7" s="25"/>
      <c r="I7" s="611"/>
      <c r="J7" s="612">
        <f t="shared" si="0"/>
        <v>0</v>
      </c>
      <c r="K7" s="697" t="s">
        <v>657</v>
      </c>
    </row>
    <row r="8" spans="1:11" ht="15.75" customHeight="1" thickBot="1" x14ac:dyDescent="0.25">
      <c r="A8" s="605" t="s">
        <v>17</v>
      </c>
      <c r="B8" s="606" t="s">
        <v>656</v>
      </c>
      <c r="C8" s="607"/>
      <c r="D8" s="608"/>
      <c r="E8" s="609"/>
      <c r="F8" s="610"/>
      <c r="G8" s="25"/>
      <c r="H8" s="25"/>
      <c r="I8" s="611"/>
      <c r="J8" s="612">
        <f t="shared" si="0"/>
        <v>0</v>
      </c>
      <c r="K8" s="697"/>
    </row>
    <row r="9" spans="1:11" ht="26.1" customHeight="1" thickBot="1" x14ac:dyDescent="0.25">
      <c r="A9" s="597" t="s">
        <v>18</v>
      </c>
      <c r="B9" s="598" t="s">
        <v>658</v>
      </c>
      <c r="C9" s="613"/>
      <c r="D9" s="614"/>
      <c r="E9" s="601">
        <f>SUM(E10:E22)</f>
        <v>29007</v>
      </c>
      <c r="F9" s="602">
        <f>SUM(F10:F22)</f>
        <v>7147</v>
      </c>
      <c r="G9" s="603">
        <f>SUM(G10:G22)</f>
        <v>5642</v>
      </c>
      <c r="H9" s="603">
        <f>SUM(H10:H22)</f>
        <v>5440</v>
      </c>
      <c r="I9" s="604">
        <f>SUM(I10:I22)</f>
        <v>37087</v>
      </c>
      <c r="J9" s="601">
        <f t="shared" si="0"/>
        <v>84323</v>
      </c>
      <c r="K9" s="697"/>
    </row>
    <row r="10" spans="1:11" ht="20.100000000000001" customHeight="1" x14ac:dyDescent="0.2">
      <c r="A10" s="615" t="s">
        <v>19</v>
      </c>
      <c r="B10" s="661" t="s">
        <v>659</v>
      </c>
      <c r="C10" s="663" t="s">
        <v>660</v>
      </c>
      <c r="D10" s="665" t="s">
        <v>661</v>
      </c>
      <c r="E10" s="617">
        <f>500+504+2016+2016+2016</f>
        <v>7052</v>
      </c>
      <c r="F10" s="618">
        <v>2016</v>
      </c>
      <c r="G10" s="619">
        <v>2016</v>
      </c>
      <c r="H10" s="619">
        <v>2016</v>
      </c>
      <c r="I10" s="620">
        <f>19140-2016-2016-2016</f>
        <v>13092</v>
      </c>
      <c r="J10" s="621">
        <f t="shared" si="0"/>
        <v>26192</v>
      </c>
      <c r="K10" s="698"/>
    </row>
    <row r="11" spans="1:11" ht="20.100000000000001" customHeight="1" x14ac:dyDescent="0.2">
      <c r="A11" s="622"/>
      <c r="B11" s="606" t="s">
        <v>662</v>
      </c>
      <c r="C11" s="664"/>
      <c r="D11" s="616"/>
      <c r="E11" s="617">
        <f>2190+1042+958+874</f>
        <v>5064</v>
      </c>
      <c r="F11" s="623">
        <v>790</v>
      </c>
      <c r="G11" s="624"/>
      <c r="H11" s="624"/>
      <c r="I11" s="625"/>
      <c r="J11" s="626">
        <f t="shared" si="0"/>
        <v>5854</v>
      </c>
      <c r="K11" s="698"/>
    </row>
    <row r="12" spans="1:11" ht="20.100000000000001" customHeight="1" x14ac:dyDescent="0.2">
      <c r="A12" s="627" t="s">
        <v>20</v>
      </c>
      <c r="B12" s="606" t="s">
        <v>663</v>
      </c>
      <c r="C12" s="634" t="s">
        <v>660</v>
      </c>
      <c r="D12" s="628" t="s">
        <v>661</v>
      </c>
      <c r="E12" s="617">
        <f>129+516+516+516</f>
        <v>1677</v>
      </c>
      <c r="F12" s="610">
        <v>516</v>
      </c>
      <c r="G12" s="25">
        <v>516</v>
      </c>
      <c r="H12" s="25">
        <v>516</v>
      </c>
      <c r="I12" s="611">
        <f>5019-516-516-516</f>
        <v>3471</v>
      </c>
      <c r="J12" s="612">
        <f t="shared" si="0"/>
        <v>6696</v>
      </c>
      <c r="K12" s="698"/>
    </row>
    <row r="13" spans="1:11" ht="20.100000000000001" customHeight="1" x14ac:dyDescent="0.2">
      <c r="A13" s="627"/>
      <c r="B13" s="606" t="s">
        <v>664</v>
      </c>
      <c r="C13" s="634"/>
      <c r="D13" s="628"/>
      <c r="E13" s="617">
        <f>560+266+245</f>
        <v>1071</v>
      </c>
      <c r="F13" s="610">
        <v>223</v>
      </c>
      <c r="G13" s="25">
        <v>202</v>
      </c>
      <c r="H13" s="25"/>
      <c r="I13" s="611"/>
      <c r="J13" s="612">
        <f t="shared" si="0"/>
        <v>1496</v>
      </c>
      <c r="K13" s="698"/>
    </row>
    <row r="14" spans="1:11" ht="20.100000000000001" customHeight="1" x14ac:dyDescent="0.2">
      <c r="A14" s="627" t="s">
        <v>21</v>
      </c>
      <c r="B14" s="606" t="s">
        <v>665</v>
      </c>
      <c r="C14" s="634" t="s">
        <v>666</v>
      </c>
      <c r="D14" s="628" t="s">
        <v>699</v>
      </c>
      <c r="E14" s="617">
        <f>500+1000+1000+1000+1000</f>
        <v>4500</v>
      </c>
      <c r="F14" s="610">
        <v>1000</v>
      </c>
      <c r="G14" s="25">
        <v>1000</v>
      </c>
      <c r="H14" s="25">
        <v>1000</v>
      </c>
      <c r="I14" s="611">
        <f>5498-1000-1000-1000</f>
        <v>2498</v>
      </c>
      <c r="J14" s="612">
        <f t="shared" si="0"/>
        <v>9998</v>
      </c>
      <c r="K14" s="698"/>
    </row>
    <row r="15" spans="1:11" ht="20.100000000000001" customHeight="1" x14ac:dyDescent="0.2">
      <c r="A15" s="627"/>
      <c r="B15" s="606" t="s">
        <v>667</v>
      </c>
      <c r="C15" s="634"/>
      <c r="D15" s="628"/>
      <c r="E15" s="617">
        <f>711+303+266+228</f>
        <v>1508</v>
      </c>
      <c r="F15" s="610">
        <v>191</v>
      </c>
      <c r="G15" s="25"/>
      <c r="H15" s="25"/>
      <c r="I15" s="611"/>
      <c r="J15" s="612">
        <f t="shared" si="0"/>
        <v>1699</v>
      </c>
      <c r="K15" s="698"/>
    </row>
    <row r="16" spans="1:11" ht="20.100000000000001" customHeight="1" x14ac:dyDescent="0.2">
      <c r="A16" s="627" t="s">
        <v>22</v>
      </c>
      <c r="B16" s="606" t="s">
        <v>668</v>
      </c>
      <c r="C16" s="634" t="s">
        <v>666</v>
      </c>
      <c r="D16" s="628" t="s">
        <v>691</v>
      </c>
      <c r="E16" s="617">
        <f>432+880+953+1033+1119</f>
        <v>4417</v>
      </c>
      <c r="F16" s="610">
        <v>493</v>
      </c>
      <c r="G16" s="25"/>
      <c r="H16" s="25"/>
      <c r="I16" s="611"/>
      <c r="J16" s="612">
        <f t="shared" si="0"/>
        <v>4910</v>
      </c>
      <c r="K16" s="698"/>
    </row>
    <row r="17" spans="1:11" ht="20.100000000000001" customHeight="1" x14ac:dyDescent="0.2">
      <c r="A17" s="627"/>
      <c r="B17" s="606" t="s">
        <v>669</v>
      </c>
      <c r="C17" s="634"/>
      <c r="D17" s="628"/>
      <c r="E17" s="617">
        <f>255+328+223+175+89</f>
        <v>1070</v>
      </c>
      <c r="F17" s="610">
        <v>10</v>
      </c>
      <c r="G17" s="25"/>
      <c r="H17" s="25"/>
      <c r="I17" s="611"/>
      <c r="J17" s="612">
        <f t="shared" si="0"/>
        <v>1080</v>
      </c>
      <c r="K17" s="698"/>
    </row>
    <row r="18" spans="1:11" ht="20.100000000000001" customHeight="1" x14ac:dyDescent="0.2">
      <c r="A18" s="627" t="s">
        <v>23</v>
      </c>
      <c r="B18" s="662" t="s">
        <v>670</v>
      </c>
      <c r="C18" s="634" t="s">
        <v>671</v>
      </c>
      <c r="D18" s="628" t="s">
        <v>700</v>
      </c>
      <c r="E18" s="617">
        <f>740+740</f>
        <v>1480</v>
      </c>
      <c r="F18" s="610">
        <v>740</v>
      </c>
      <c r="G18" s="25">
        <v>740</v>
      </c>
      <c r="H18" s="25">
        <v>740</v>
      </c>
      <c r="I18" s="611">
        <f>7778-740-740</f>
        <v>6298</v>
      </c>
      <c r="J18" s="612">
        <f t="shared" si="0"/>
        <v>9998</v>
      </c>
      <c r="K18" s="698"/>
    </row>
    <row r="19" spans="1:11" ht="20.100000000000001" customHeight="1" x14ac:dyDescent="0.2">
      <c r="A19" s="627"/>
      <c r="B19" s="662" t="s">
        <v>683</v>
      </c>
      <c r="C19" s="634"/>
      <c r="D19" s="628"/>
      <c r="E19" s="617"/>
      <c r="F19" s="610"/>
      <c r="G19" s="25"/>
      <c r="H19" s="25"/>
      <c r="I19" s="611"/>
      <c r="J19" s="612"/>
      <c r="K19" s="698"/>
    </row>
    <row r="20" spans="1:11" ht="24" customHeight="1" x14ac:dyDescent="0.2">
      <c r="A20" s="627" t="s">
        <v>24</v>
      </c>
      <c r="B20" s="662" t="s">
        <v>673</v>
      </c>
      <c r="C20" s="634" t="s">
        <v>674</v>
      </c>
      <c r="D20" s="628" t="s">
        <v>672</v>
      </c>
      <c r="E20" s="617">
        <v>464</v>
      </c>
      <c r="F20" s="610">
        <v>464</v>
      </c>
      <c r="G20" s="25">
        <v>464</v>
      </c>
      <c r="H20" s="25">
        <v>464</v>
      </c>
      <c r="I20" s="611">
        <v>4644</v>
      </c>
      <c r="J20" s="612">
        <f t="shared" si="0"/>
        <v>6500</v>
      </c>
      <c r="K20" s="698"/>
    </row>
    <row r="21" spans="1:11" ht="24" customHeight="1" x14ac:dyDescent="0.2">
      <c r="A21" s="627"/>
      <c r="B21" s="662" t="s">
        <v>684</v>
      </c>
      <c r="C21" s="634"/>
      <c r="D21" s="628"/>
      <c r="E21" s="617"/>
      <c r="F21" s="610"/>
      <c r="G21" s="25"/>
      <c r="H21" s="25"/>
      <c r="I21" s="611"/>
      <c r="J21" s="612"/>
      <c r="K21" s="698"/>
    </row>
    <row r="22" spans="1:11" ht="27" customHeight="1" x14ac:dyDescent="0.2">
      <c r="A22" s="627">
        <v>11</v>
      </c>
      <c r="B22" s="662" t="s">
        <v>675</v>
      </c>
      <c r="C22" s="634" t="s">
        <v>674</v>
      </c>
      <c r="D22" s="628" t="s">
        <v>672</v>
      </c>
      <c r="E22" s="617">
        <v>704</v>
      </c>
      <c r="F22" s="610">
        <v>704</v>
      </c>
      <c r="G22" s="25">
        <v>704</v>
      </c>
      <c r="H22" s="25">
        <v>704</v>
      </c>
      <c r="I22" s="611">
        <v>7084</v>
      </c>
      <c r="J22" s="612">
        <f t="shared" si="0"/>
        <v>9900</v>
      </c>
      <c r="K22" s="698"/>
    </row>
    <row r="23" spans="1:11" ht="27" customHeight="1" x14ac:dyDescent="0.2">
      <c r="A23" s="627"/>
      <c r="B23" s="662" t="s">
        <v>685</v>
      </c>
      <c r="C23" s="634"/>
      <c r="D23" s="628"/>
      <c r="E23" s="617"/>
      <c r="F23" s="610"/>
      <c r="G23" s="25"/>
      <c r="H23" s="25"/>
      <c r="I23" s="611"/>
      <c r="J23" s="612"/>
      <c r="K23" s="698"/>
    </row>
    <row r="24" spans="1:11" ht="20.100000000000001" customHeight="1" thickBot="1" x14ac:dyDescent="0.25">
      <c r="A24" s="629" t="s">
        <v>26</v>
      </c>
      <c r="B24" s="656" t="s">
        <v>676</v>
      </c>
      <c r="C24" s="655"/>
      <c r="D24" s="630"/>
      <c r="E24" s="666">
        <f>+E25</f>
        <v>0</v>
      </c>
      <c r="F24" s="658">
        <f>+F25</f>
        <v>0</v>
      </c>
      <c r="G24" s="659">
        <f>+G25</f>
        <v>0</v>
      </c>
      <c r="H24" s="659">
        <f>+H25</f>
        <v>0</v>
      </c>
      <c r="I24" s="660">
        <f>+I25</f>
        <v>0</v>
      </c>
      <c r="J24" s="657">
        <f t="shared" si="0"/>
        <v>0</v>
      </c>
      <c r="K24" s="698"/>
    </row>
    <row r="25" spans="1:11" ht="15.75" customHeight="1" thickBot="1" x14ac:dyDescent="0.25">
      <c r="A25" s="605" t="s">
        <v>27</v>
      </c>
      <c r="B25" s="606" t="s">
        <v>656</v>
      </c>
      <c r="C25" s="633"/>
      <c r="D25" s="634"/>
      <c r="E25" s="609"/>
      <c r="F25" s="610"/>
      <c r="G25" s="25"/>
      <c r="H25" s="25"/>
      <c r="I25" s="611"/>
      <c r="J25" s="612">
        <f t="shared" si="0"/>
        <v>0</v>
      </c>
      <c r="K25" s="697"/>
    </row>
    <row r="26" spans="1:11" ht="20.100000000000001" customHeight="1" thickBot="1" x14ac:dyDescent="0.25">
      <c r="A26" s="597" t="s">
        <v>28</v>
      </c>
      <c r="B26" s="598" t="s">
        <v>677</v>
      </c>
      <c r="C26" s="631"/>
      <c r="D26" s="632"/>
      <c r="E26" s="601">
        <f>+E27</f>
        <v>0</v>
      </c>
      <c r="F26" s="602">
        <f>+F27</f>
        <v>0</v>
      </c>
      <c r="G26" s="603">
        <f>+G27</f>
        <v>0</v>
      </c>
      <c r="H26" s="603">
        <f>+H27</f>
        <v>0</v>
      </c>
      <c r="I26" s="604">
        <f>+I27</f>
        <v>0</v>
      </c>
      <c r="J26" s="601">
        <f t="shared" si="0"/>
        <v>0</v>
      </c>
      <c r="K26" s="697"/>
    </row>
    <row r="27" spans="1:11" ht="15.75" customHeight="1" thickBot="1" x14ac:dyDescent="0.25">
      <c r="A27" s="635" t="s">
        <v>29</v>
      </c>
      <c r="B27" s="636" t="s">
        <v>656</v>
      </c>
      <c r="C27" s="637"/>
      <c r="D27" s="638"/>
      <c r="E27" s="639"/>
      <c r="F27" s="640"/>
      <c r="G27" s="26"/>
      <c r="H27" s="26"/>
      <c r="I27" s="641"/>
      <c r="J27" s="642">
        <f t="shared" si="0"/>
        <v>0</v>
      </c>
      <c r="K27" s="697"/>
    </row>
    <row r="28" spans="1:11" ht="20.100000000000001" customHeight="1" thickBot="1" x14ac:dyDescent="0.25">
      <c r="A28" s="597" t="s">
        <v>30</v>
      </c>
      <c r="B28" s="643" t="s">
        <v>678</v>
      </c>
      <c r="C28" s="631"/>
      <c r="D28" s="632"/>
      <c r="E28" s="601">
        <f>+E29</f>
        <v>0</v>
      </c>
      <c r="F28" s="602">
        <f>+F29</f>
        <v>0</v>
      </c>
      <c r="G28" s="603">
        <f>+G29</f>
        <v>0</v>
      </c>
      <c r="H28" s="603">
        <f>+H29</f>
        <v>0</v>
      </c>
      <c r="I28" s="604">
        <f>+I29</f>
        <v>0</v>
      </c>
      <c r="J28" s="601">
        <f t="shared" si="0"/>
        <v>0</v>
      </c>
      <c r="K28" s="697"/>
    </row>
    <row r="29" spans="1:11" ht="15.75" customHeight="1" thickBot="1" x14ac:dyDescent="0.25">
      <c r="A29" s="644" t="s">
        <v>31</v>
      </c>
      <c r="B29" s="645" t="s">
        <v>656</v>
      </c>
      <c r="C29" s="646"/>
      <c r="D29" s="647"/>
      <c r="E29" s="648"/>
      <c r="F29" s="649"/>
      <c r="G29" s="650"/>
      <c r="H29" s="650"/>
      <c r="I29" s="651"/>
      <c r="J29" s="652">
        <f t="shared" si="0"/>
        <v>0</v>
      </c>
      <c r="K29" s="697"/>
    </row>
    <row r="30" spans="1:11" ht="20.100000000000001" customHeight="1" thickBot="1" x14ac:dyDescent="0.25">
      <c r="A30" s="699" t="s">
        <v>679</v>
      </c>
      <c r="B30" s="700"/>
      <c r="C30" s="653"/>
      <c r="D30" s="654"/>
      <c r="E30" s="601">
        <f t="shared" ref="E30:J30" si="1">+E6+E9+E24+E26+E28</f>
        <v>29007</v>
      </c>
      <c r="F30" s="602">
        <f t="shared" si="1"/>
        <v>7147</v>
      </c>
      <c r="G30" s="603">
        <f t="shared" si="1"/>
        <v>5642</v>
      </c>
      <c r="H30" s="603">
        <f t="shared" si="1"/>
        <v>5440</v>
      </c>
      <c r="I30" s="604">
        <f t="shared" si="1"/>
        <v>37087</v>
      </c>
      <c r="J30" s="601">
        <f t="shared" si="1"/>
        <v>84323</v>
      </c>
      <c r="K30" s="697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zoomScaleNormal="100" workbookViewId="0">
      <selection activeCell="B6" sqref="B6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2" t="s">
        <v>690</v>
      </c>
      <c r="C1" s="712"/>
      <c r="D1" s="712"/>
    </row>
    <row r="2" spans="1:4" s="74" customFormat="1" ht="16.5" thickBot="1" x14ac:dyDescent="0.3">
      <c r="A2" s="73"/>
      <c r="B2" s="379"/>
      <c r="D2" s="46" t="s">
        <v>561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3" t="s">
        <v>682</v>
      </c>
      <c r="C5" s="668">
        <v>316000</v>
      </c>
      <c r="D5" s="669">
        <v>316000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10160000</v>
      </c>
      <c r="D9" s="564">
        <f>D11+D10+D18</f>
        <v>5585000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9160000</v>
      </c>
      <c r="D11" s="564">
        <f>SUM(D12:D17)</f>
        <v>4585000</v>
      </c>
    </row>
    <row r="12" spans="1:4" ht="27.75" customHeight="1" x14ac:dyDescent="0.2">
      <c r="A12" s="78" t="s">
        <v>22</v>
      </c>
      <c r="B12" s="209" t="s">
        <v>705</v>
      </c>
      <c r="C12" s="140">
        <v>4090000</v>
      </c>
      <c r="D12" s="80">
        <v>2045000</v>
      </c>
    </row>
    <row r="13" spans="1:4" ht="27" customHeight="1" x14ac:dyDescent="0.2">
      <c r="A13" s="78" t="s">
        <v>23</v>
      </c>
      <c r="B13" s="209" t="s">
        <v>706</v>
      </c>
      <c r="C13" s="140">
        <v>2590000</v>
      </c>
      <c r="D13" s="80">
        <v>1295000</v>
      </c>
    </row>
    <row r="14" spans="1:4" ht="28.5" customHeight="1" x14ac:dyDescent="0.2">
      <c r="A14" s="78" t="s">
        <v>24</v>
      </c>
      <c r="B14" s="209" t="s">
        <v>707</v>
      </c>
      <c r="C14" s="140">
        <v>1260000</v>
      </c>
      <c r="D14" s="80">
        <v>630000</v>
      </c>
    </row>
    <row r="15" spans="1:4" ht="28.5" customHeight="1" x14ac:dyDescent="0.2">
      <c r="A15" s="78" t="s">
        <v>25</v>
      </c>
      <c r="B15" s="209" t="s">
        <v>610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680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681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5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10476000</v>
      </c>
      <c r="D33" s="215">
        <f>+D5+D6+D7+D8+D9+D19+D20+D21+D22+D23+D24+D25+D26+D27+D28+D29+D30+D31+D32</f>
        <v>5901000</v>
      </c>
    </row>
    <row r="34" spans="1:4" ht="8.25" customHeight="1" x14ac:dyDescent="0.2">
      <c r="A34" s="85"/>
      <c r="B34" s="711"/>
      <c r="C34" s="711"/>
      <c r="D34" s="711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19" t="str">
        <f>+CONCATENATE("Előirányzat-felhasználási terv",CHAR(10),LEFT(ÖSSZEFÜGGÉSEK!A5,4),". évre")</f>
        <v>Előirányzat-felhasználási terv
2020. évre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13" t="s">
        <v>53</v>
      </c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  <c r="O4" s="715"/>
    </row>
    <row r="5" spans="1:15" s="106" customFormat="1" ht="22.5" x14ac:dyDescent="0.2">
      <c r="A5" s="548" t="s">
        <v>16</v>
      </c>
      <c r="B5" s="549" t="s">
        <v>365</v>
      </c>
      <c r="C5" s="552">
        <f>O5/12</f>
        <v>44394903.166666664</v>
      </c>
      <c r="D5" s="550">
        <f t="shared" ref="D5:N5" si="0">$O$5/12</f>
        <v>44394903.166666664</v>
      </c>
      <c r="E5" s="550">
        <f t="shared" si="0"/>
        <v>44394903.166666664</v>
      </c>
      <c r="F5" s="550">
        <f t="shared" si="0"/>
        <v>44394903.166666664</v>
      </c>
      <c r="G5" s="550">
        <f t="shared" si="0"/>
        <v>44394903.166666664</v>
      </c>
      <c r="H5" s="550">
        <f t="shared" si="0"/>
        <v>44394903.166666664</v>
      </c>
      <c r="I5" s="550">
        <f t="shared" si="0"/>
        <v>44394903.166666664</v>
      </c>
      <c r="J5" s="550">
        <f t="shared" si="0"/>
        <v>44394903.166666664</v>
      </c>
      <c r="K5" s="550">
        <f t="shared" si="0"/>
        <v>44394903.166666664</v>
      </c>
      <c r="L5" s="550">
        <f t="shared" si="0"/>
        <v>44394903.166666664</v>
      </c>
      <c r="M5" s="550">
        <f t="shared" si="0"/>
        <v>44394903.166666664</v>
      </c>
      <c r="N5" s="550">
        <f t="shared" si="0"/>
        <v>44394903.166666664</v>
      </c>
      <c r="O5" s="551">
        <f>'9.1. sz. mell ÖNK'!C8</f>
        <v>532738838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10966452.083333334</v>
      </c>
      <c r="D6" s="109">
        <f>$O$6/12</f>
        <v>10966452.083333334</v>
      </c>
      <c r="E6" s="109">
        <f t="shared" ref="E6:N6" si="2">$O$6/12</f>
        <v>10966452.083333334</v>
      </c>
      <c r="F6" s="109">
        <f t="shared" si="2"/>
        <v>10966452.083333334</v>
      </c>
      <c r="G6" s="109">
        <f t="shared" si="2"/>
        <v>10966452.083333334</v>
      </c>
      <c r="H6" s="109">
        <f t="shared" si="2"/>
        <v>10966452.083333334</v>
      </c>
      <c r="I6" s="109">
        <f t="shared" si="2"/>
        <v>10966452.083333334</v>
      </c>
      <c r="J6" s="109">
        <f t="shared" si="2"/>
        <v>10966452.083333334</v>
      </c>
      <c r="K6" s="109">
        <f t="shared" si="2"/>
        <v>10966452.083333334</v>
      </c>
      <c r="L6" s="109">
        <f t="shared" si="2"/>
        <v>10966452.083333334</v>
      </c>
      <c r="M6" s="109">
        <f t="shared" si="2"/>
        <v>10966452.083333334</v>
      </c>
      <c r="N6" s="109">
        <f t="shared" si="2"/>
        <v>10966452.083333334</v>
      </c>
      <c r="O6" s="110">
        <f>'9.1. sz. mell ÖNK'!C17</f>
        <v>131597425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30760857.416666668</v>
      </c>
      <c r="D7" s="112">
        <f>$O$7/12</f>
        <v>30760857.416666668</v>
      </c>
      <c r="E7" s="112">
        <f t="shared" ref="E7:N7" si="3">$O$7/12</f>
        <v>30760857.416666668</v>
      </c>
      <c r="F7" s="112">
        <f t="shared" si="3"/>
        <v>30760857.416666668</v>
      </c>
      <c r="G7" s="112">
        <f t="shared" si="3"/>
        <v>30760857.416666668</v>
      </c>
      <c r="H7" s="112">
        <f t="shared" si="3"/>
        <v>30760857.416666668</v>
      </c>
      <c r="I7" s="112">
        <f t="shared" si="3"/>
        <v>30760857.416666668</v>
      </c>
      <c r="J7" s="112">
        <f t="shared" si="3"/>
        <v>30760857.416666668</v>
      </c>
      <c r="K7" s="112">
        <f t="shared" si="3"/>
        <v>30760857.416666668</v>
      </c>
      <c r="L7" s="112">
        <f t="shared" si="3"/>
        <v>30760857.416666668</v>
      </c>
      <c r="M7" s="112">
        <f t="shared" si="3"/>
        <v>30760857.416666668</v>
      </c>
      <c r="N7" s="112">
        <f t="shared" si="3"/>
        <v>30760857.416666668</v>
      </c>
      <c r="O7" s="110">
        <f>'9.1. sz. mell ÖNK'!C24</f>
        <v>369130289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12142916.666666666</v>
      </c>
      <c r="D8" s="109">
        <f>$O$8/12</f>
        <v>12142916.666666666</v>
      </c>
      <c r="E8" s="109">
        <f t="shared" ref="E8:N8" si="4">$O$8/12</f>
        <v>12142916.666666666</v>
      </c>
      <c r="F8" s="109">
        <f t="shared" si="4"/>
        <v>12142916.666666666</v>
      </c>
      <c r="G8" s="109">
        <f t="shared" si="4"/>
        <v>12142916.666666666</v>
      </c>
      <c r="H8" s="109">
        <f t="shared" si="4"/>
        <v>12142916.666666666</v>
      </c>
      <c r="I8" s="109">
        <f t="shared" si="4"/>
        <v>12142916.666666666</v>
      </c>
      <c r="J8" s="109">
        <f t="shared" si="4"/>
        <v>12142916.666666666</v>
      </c>
      <c r="K8" s="109">
        <f t="shared" si="4"/>
        <v>12142916.666666666</v>
      </c>
      <c r="L8" s="109">
        <f t="shared" si="4"/>
        <v>12142916.666666666</v>
      </c>
      <c r="M8" s="109">
        <f t="shared" si="4"/>
        <v>12142916.666666666</v>
      </c>
      <c r="N8" s="109">
        <f t="shared" si="4"/>
        <v>12142916.666666666</v>
      </c>
      <c r="O8" s="110">
        <f>'9.1. sz. mell ÖNK'!C31</f>
        <v>145715000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1680905</v>
      </c>
      <c r="D9" s="109">
        <f>$O$9/12</f>
        <v>1680905</v>
      </c>
      <c r="E9" s="109">
        <f t="shared" ref="E9:N9" si="5">$O$9/12</f>
        <v>1680905</v>
      </c>
      <c r="F9" s="109">
        <f t="shared" si="5"/>
        <v>1680905</v>
      </c>
      <c r="G9" s="109">
        <f t="shared" si="5"/>
        <v>1680905</v>
      </c>
      <c r="H9" s="109">
        <f t="shared" si="5"/>
        <v>1680905</v>
      </c>
      <c r="I9" s="109">
        <f t="shared" si="5"/>
        <v>1680905</v>
      </c>
      <c r="J9" s="109">
        <f t="shared" si="5"/>
        <v>1680905</v>
      </c>
      <c r="K9" s="109">
        <f t="shared" si="5"/>
        <v>1680905</v>
      </c>
      <c r="L9" s="109">
        <f t="shared" si="5"/>
        <v>1680905</v>
      </c>
      <c r="M9" s="109">
        <f t="shared" si="5"/>
        <v>1680905</v>
      </c>
      <c r="N9" s="109">
        <f t="shared" si="5"/>
        <v>1680905</v>
      </c>
      <c r="O9" s="110">
        <f>'9.1. sz. mell ÖNK'!C40</f>
        <v>20170860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850000</v>
      </c>
      <c r="D10" s="109">
        <f>$O$10/12</f>
        <v>850000</v>
      </c>
      <c r="E10" s="109">
        <f t="shared" ref="E10:N10" si="6">$O$10/12</f>
        <v>850000</v>
      </c>
      <c r="F10" s="109">
        <f t="shared" si="6"/>
        <v>850000</v>
      </c>
      <c r="G10" s="109">
        <f t="shared" si="6"/>
        <v>850000</v>
      </c>
      <c r="H10" s="109">
        <f t="shared" si="6"/>
        <v>850000</v>
      </c>
      <c r="I10" s="109">
        <f t="shared" si="6"/>
        <v>850000</v>
      </c>
      <c r="J10" s="109">
        <f t="shared" si="6"/>
        <v>850000</v>
      </c>
      <c r="K10" s="109">
        <f t="shared" si="6"/>
        <v>850000</v>
      </c>
      <c r="L10" s="109">
        <f t="shared" si="6"/>
        <v>850000</v>
      </c>
      <c r="M10" s="109">
        <f t="shared" si="6"/>
        <v>850000</v>
      </c>
      <c r="N10" s="109">
        <f t="shared" si="6"/>
        <v>850000</v>
      </c>
      <c r="O10" s="110">
        <f>'9.1. sz. mell ÖNK'!C52</f>
        <v>10200000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ÖNK'!C58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0</v>
      </c>
      <c r="D12" s="109">
        <f>$O$12/12</f>
        <v>0</v>
      </c>
      <c r="E12" s="109">
        <f t="shared" ref="E12:N12" si="7">$O$12/12</f>
        <v>0</v>
      </c>
      <c r="F12" s="109">
        <f t="shared" si="7"/>
        <v>0</v>
      </c>
      <c r="G12" s="109">
        <f t="shared" si="7"/>
        <v>0</v>
      </c>
      <c r="H12" s="109">
        <f t="shared" si="7"/>
        <v>0</v>
      </c>
      <c r="I12" s="109">
        <f t="shared" si="7"/>
        <v>0</v>
      </c>
      <c r="J12" s="109">
        <f t="shared" si="7"/>
        <v>0</v>
      </c>
      <c r="K12" s="109">
        <f t="shared" si="7"/>
        <v>0</v>
      </c>
      <c r="L12" s="109">
        <f t="shared" si="7"/>
        <v>0</v>
      </c>
      <c r="M12" s="109">
        <f t="shared" si="7"/>
        <v>0</v>
      </c>
      <c r="N12" s="109">
        <f t="shared" si="7"/>
        <v>0</v>
      </c>
      <c r="O12" s="110">
        <f>'9.1. sz. mell ÖNK'!C63</f>
        <v>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47425744.333333336</v>
      </c>
      <c r="D13" s="555">
        <f>$O$13/12</f>
        <v>47425744.333333336</v>
      </c>
      <c r="E13" s="555">
        <f t="shared" ref="E13:N13" si="8">$O$13/12</f>
        <v>47425744.333333336</v>
      </c>
      <c r="F13" s="555">
        <f t="shared" si="8"/>
        <v>47425744.333333336</v>
      </c>
      <c r="G13" s="555">
        <f t="shared" si="8"/>
        <v>47425744.333333336</v>
      </c>
      <c r="H13" s="555">
        <f t="shared" si="8"/>
        <v>47425744.333333336</v>
      </c>
      <c r="I13" s="555">
        <f t="shared" si="8"/>
        <v>47425744.333333336</v>
      </c>
      <c r="J13" s="555">
        <f t="shared" si="8"/>
        <v>47425744.333333336</v>
      </c>
      <c r="K13" s="555">
        <f t="shared" si="8"/>
        <v>47425744.333333336</v>
      </c>
      <c r="L13" s="555">
        <f t="shared" si="8"/>
        <v>47425744.333333336</v>
      </c>
      <c r="M13" s="555">
        <f t="shared" si="8"/>
        <v>47425744.333333336</v>
      </c>
      <c r="N13" s="555">
        <f t="shared" si="8"/>
        <v>47425744.333333336</v>
      </c>
      <c r="O13" s="556">
        <f>'9.1. sz. mell ÖNK'!C92</f>
        <v>569108932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148221778.66666669</v>
      </c>
      <c r="D14" s="114">
        <f t="shared" si="9"/>
        <v>148221778.66666669</v>
      </c>
      <c r="E14" s="114">
        <f t="shared" si="9"/>
        <v>148221778.66666669</v>
      </c>
      <c r="F14" s="114">
        <f t="shared" si="9"/>
        <v>148221778.66666669</v>
      </c>
      <c r="G14" s="114">
        <f t="shared" si="9"/>
        <v>148221778.66666669</v>
      </c>
      <c r="H14" s="114">
        <f t="shared" si="9"/>
        <v>148221778.66666669</v>
      </c>
      <c r="I14" s="114">
        <f t="shared" si="9"/>
        <v>148221778.66666669</v>
      </c>
      <c r="J14" s="114">
        <f t="shared" si="9"/>
        <v>148221778.66666669</v>
      </c>
      <c r="K14" s="114">
        <f t="shared" si="9"/>
        <v>148221778.66666669</v>
      </c>
      <c r="L14" s="114">
        <f t="shared" si="9"/>
        <v>148221778.66666669</v>
      </c>
      <c r="M14" s="114">
        <f t="shared" si="9"/>
        <v>148221778.66666669</v>
      </c>
      <c r="N14" s="114">
        <f t="shared" si="9"/>
        <v>148221778.66666669</v>
      </c>
      <c r="O14" s="115">
        <f>SUM(C14:N14)</f>
        <v>1778661344.0000007</v>
      </c>
    </row>
    <row r="15" spans="1:15" s="106" customFormat="1" ht="15" customHeight="1" thickBot="1" x14ac:dyDescent="0.25">
      <c r="A15" s="105" t="s">
        <v>26</v>
      </c>
      <c r="B15" s="716" t="s">
        <v>54</v>
      </c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8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10217832.833333334</v>
      </c>
      <c r="D16" s="112">
        <f>$O$16/12</f>
        <v>10217832.833333334</v>
      </c>
      <c r="E16" s="112">
        <f t="shared" ref="E16:N16" si="10">$O$16/12</f>
        <v>10217832.833333334</v>
      </c>
      <c r="F16" s="112">
        <f t="shared" si="10"/>
        <v>10217832.833333334</v>
      </c>
      <c r="G16" s="112">
        <f t="shared" si="10"/>
        <v>10217832.833333334</v>
      </c>
      <c r="H16" s="112">
        <f t="shared" si="10"/>
        <v>10217832.833333334</v>
      </c>
      <c r="I16" s="112">
        <f t="shared" si="10"/>
        <v>10217832.833333334</v>
      </c>
      <c r="J16" s="112">
        <f t="shared" si="10"/>
        <v>10217832.833333334</v>
      </c>
      <c r="K16" s="112">
        <f t="shared" si="10"/>
        <v>10217832.833333334</v>
      </c>
      <c r="L16" s="112">
        <f t="shared" si="10"/>
        <v>10217832.833333334</v>
      </c>
      <c r="M16" s="112">
        <f t="shared" si="10"/>
        <v>10217832.833333334</v>
      </c>
      <c r="N16" s="112">
        <f t="shared" si="10"/>
        <v>10217832.833333334</v>
      </c>
      <c r="O16" s="551">
        <f>'9.1. sz. mell ÖNK'!C97</f>
        <v>122613994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1153047.4166666667</v>
      </c>
      <c r="D17" s="109">
        <f>$O$17/12</f>
        <v>1153047.4166666667</v>
      </c>
      <c r="E17" s="109">
        <f t="shared" ref="E17:M17" si="12">$O$17/12</f>
        <v>1153047.4166666667</v>
      </c>
      <c r="F17" s="109">
        <f t="shared" si="12"/>
        <v>1153047.4166666667</v>
      </c>
      <c r="G17" s="109">
        <f t="shared" si="12"/>
        <v>1153047.4166666667</v>
      </c>
      <c r="H17" s="109">
        <f t="shared" si="12"/>
        <v>1153047.4166666667</v>
      </c>
      <c r="I17" s="109">
        <f t="shared" si="12"/>
        <v>1153047.4166666667</v>
      </c>
      <c r="J17" s="109">
        <f t="shared" si="12"/>
        <v>1153047.4166666667</v>
      </c>
      <c r="K17" s="109">
        <f t="shared" si="12"/>
        <v>1153047.4166666667</v>
      </c>
      <c r="L17" s="109">
        <f t="shared" si="12"/>
        <v>1153047.4166666667</v>
      </c>
      <c r="M17" s="109">
        <f t="shared" si="12"/>
        <v>1153047.4166666667</v>
      </c>
      <c r="N17" s="109">
        <f>$O$17/12</f>
        <v>1153047.4166666667</v>
      </c>
      <c r="O17" s="110">
        <f>'9.1. sz. mell ÖNK'!C98</f>
        <v>13836569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28940533.666666668</v>
      </c>
      <c r="D18" s="109">
        <f>$O$18/12</f>
        <v>28940533.666666668</v>
      </c>
      <c r="E18" s="109">
        <f t="shared" ref="E18:N18" si="13">$O$18/12</f>
        <v>28940533.666666668</v>
      </c>
      <c r="F18" s="109">
        <f t="shared" si="13"/>
        <v>28940533.666666668</v>
      </c>
      <c r="G18" s="109">
        <f t="shared" si="13"/>
        <v>28940533.666666668</v>
      </c>
      <c r="H18" s="109">
        <f t="shared" si="13"/>
        <v>28940533.666666668</v>
      </c>
      <c r="I18" s="109">
        <f t="shared" si="13"/>
        <v>28940533.666666668</v>
      </c>
      <c r="J18" s="109">
        <f t="shared" si="13"/>
        <v>28940533.666666668</v>
      </c>
      <c r="K18" s="109">
        <f t="shared" si="13"/>
        <v>28940533.666666668</v>
      </c>
      <c r="L18" s="109">
        <f t="shared" si="13"/>
        <v>28940533.666666668</v>
      </c>
      <c r="M18" s="109">
        <f t="shared" si="13"/>
        <v>28940533.666666668</v>
      </c>
      <c r="N18" s="109">
        <f t="shared" si="13"/>
        <v>28940533.666666668</v>
      </c>
      <c r="O18" s="110">
        <f>'9.1. sz. mell ÖNK'!C99</f>
        <v>347286404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2370833.3333333335</v>
      </c>
      <c r="D19" s="109">
        <f>$O$19/12</f>
        <v>2370833.3333333335</v>
      </c>
      <c r="E19" s="109">
        <f t="shared" ref="E19:N19" si="14">$O$19/12</f>
        <v>2370833.3333333335</v>
      </c>
      <c r="F19" s="109">
        <f t="shared" si="14"/>
        <v>2370833.3333333335</v>
      </c>
      <c r="G19" s="109">
        <f t="shared" si="14"/>
        <v>2370833.3333333335</v>
      </c>
      <c r="H19" s="109">
        <f t="shared" si="14"/>
        <v>2370833.3333333335</v>
      </c>
      <c r="I19" s="109">
        <f t="shared" si="14"/>
        <v>2370833.3333333335</v>
      </c>
      <c r="J19" s="109">
        <f t="shared" si="14"/>
        <v>2370833.3333333335</v>
      </c>
      <c r="K19" s="109">
        <f t="shared" si="14"/>
        <v>2370833.3333333335</v>
      </c>
      <c r="L19" s="109">
        <f t="shared" si="14"/>
        <v>2370833.3333333335</v>
      </c>
      <c r="M19" s="109">
        <f t="shared" si="14"/>
        <v>2370833.3333333335</v>
      </c>
      <c r="N19" s="109">
        <f t="shared" si="14"/>
        <v>2370833.3333333335</v>
      </c>
      <c r="O19" s="110">
        <f>'9.1. sz. mell ÖNK'!C101</f>
        <v>28450000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3062500</v>
      </c>
      <c r="D20" s="109">
        <f>$O$20/12</f>
        <v>3062500</v>
      </c>
      <c r="E20" s="109">
        <f t="shared" ref="E20:N20" si="15">$O$20/12</f>
        <v>3062500</v>
      </c>
      <c r="F20" s="109">
        <f t="shared" si="15"/>
        <v>3062500</v>
      </c>
      <c r="G20" s="109">
        <f t="shared" si="15"/>
        <v>3062500</v>
      </c>
      <c r="H20" s="109">
        <f t="shared" si="15"/>
        <v>3062500</v>
      </c>
      <c r="I20" s="109">
        <f t="shared" si="15"/>
        <v>3062500</v>
      </c>
      <c r="J20" s="109">
        <f t="shared" si="15"/>
        <v>3062500</v>
      </c>
      <c r="K20" s="109">
        <f t="shared" si="15"/>
        <v>3062500</v>
      </c>
      <c r="L20" s="109">
        <f t="shared" si="15"/>
        <v>3062500</v>
      </c>
      <c r="M20" s="109">
        <f t="shared" si="15"/>
        <v>3062500</v>
      </c>
      <c r="N20" s="109">
        <f t="shared" si="15"/>
        <v>3062500</v>
      </c>
      <c r="O20" s="113">
        <f>'9.1. sz. mell ÖNK'!C102</f>
        <v>36750000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54622684.916666664</v>
      </c>
      <c r="D21" s="109">
        <f>$O$21/12</f>
        <v>54622684.916666664</v>
      </c>
      <c r="E21" s="109">
        <f t="shared" ref="E21:N21" si="16">$O$21/12</f>
        <v>54622684.916666664</v>
      </c>
      <c r="F21" s="109">
        <f t="shared" si="16"/>
        <v>54622684.916666664</v>
      </c>
      <c r="G21" s="109">
        <f t="shared" si="16"/>
        <v>54622684.916666664</v>
      </c>
      <c r="H21" s="109">
        <f t="shared" si="16"/>
        <v>54622684.916666664</v>
      </c>
      <c r="I21" s="109">
        <f t="shared" si="16"/>
        <v>54622684.916666664</v>
      </c>
      <c r="J21" s="109">
        <f t="shared" si="16"/>
        <v>54622684.916666664</v>
      </c>
      <c r="K21" s="109">
        <f t="shared" si="16"/>
        <v>54622684.916666664</v>
      </c>
      <c r="L21" s="109">
        <f t="shared" si="16"/>
        <v>54622684.916666664</v>
      </c>
      <c r="M21" s="109">
        <f t="shared" si="16"/>
        <v>54622684.916666664</v>
      </c>
      <c r="N21" s="109">
        <f t="shared" si="16"/>
        <v>54622684.916666664</v>
      </c>
      <c r="O21" s="113">
        <f>'9.1. sz. mell ÖNK'!C119</f>
        <v>655472219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2193395.8333333335</v>
      </c>
      <c r="D22" s="109">
        <f>$O$22/12</f>
        <v>2193395.8333333335</v>
      </c>
      <c r="E22" s="109">
        <f t="shared" ref="E22:N22" si="17">$O$22/12</f>
        <v>2193395.8333333335</v>
      </c>
      <c r="F22" s="109">
        <f t="shared" si="17"/>
        <v>2193395.8333333335</v>
      </c>
      <c r="G22" s="109">
        <f t="shared" si="17"/>
        <v>2193395.8333333335</v>
      </c>
      <c r="H22" s="109">
        <f t="shared" si="17"/>
        <v>2193395.8333333335</v>
      </c>
      <c r="I22" s="109">
        <f t="shared" si="17"/>
        <v>2193395.8333333335</v>
      </c>
      <c r="J22" s="109">
        <f t="shared" si="17"/>
        <v>2193395.8333333335</v>
      </c>
      <c r="K22" s="109">
        <f t="shared" si="17"/>
        <v>2193395.8333333335</v>
      </c>
      <c r="L22" s="109">
        <f t="shared" si="17"/>
        <v>2193395.8333333335</v>
      </c>
      <c r="M22" s="109">
        <f t="shared" si="17"/>
        <v>2193395.8333333335</v>
      </c>
      <c r="N22" s="109">
        <f t="shared" si="17"/>
        <v>2193395.8333333335</v>
      </c>
      <c r="O22" s="113">
        <f>'9.1. sz. mell ÖNK'!C121</f>
        <v>26320750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0</v>
      </c>
      <c r="D23" s="109">
        <f>$O$23/12</f>
        <v>0</v>
      </c>
      <c r="E23" s="109">
        <f t="shared" ref="E23:N23" si="18">$O$23/12</f>
        <v>0</v>
      </c>
      <c r="F23" s="109">
        <f t="shared" si="18"/>
        <v>0</v>
      </c>
      <c r="G23" s="109">
        <f t="shared" si="18"/>
        <v>0</v>
      </c>
      <c r="H23" s="109">
        <f t="shared" si="18"/>
        <v>0</v>
      </c>
      <c r="I23" s="109">
        <f t="shared" si="18"/>
        <v>0</v>
      </c>
      <c r="J23" s="109">
        <f t="shared" si="18"/>
        <v>0</v>
      </c>
      <c r="K23" s="109">
        <f t="shared" si="18"/>
        <v>0</v>
      </c>
      <c r="L23" s="109">
        <f t="shared" si="18"/>
        <v>0</v>
      </c>
      <c r="M23" s="109">
        <f t="shared" si="18"/>
        <v>0</v>
      </c>
      <c r="N23" s="109">
        <f t="shared" si="18"/>
        <v>0</v>
      </c>
      <c r="O23" s="113">
        <f>'9.1. sz. mell ÖNK'!C123</f>
        <v>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45660950.666666664</v>
      </c>
      <c r="D24" s="109">
        <f>$O$24/12</f>
        <v>45660950.666666664</v>
      </c>
      <c r="E24" s="109">
        <f t="shared" ref="E24:N24" si="19">$O$24/12</f>
        <v>45660950.666666664</v>
      </c>
      <c r="F24" s="109">
        <f t="shared" si="19"/>
        <v>45660950.666666664</v>
      </c>
      <c r="G24" s="109">
        <f t="shared" si="19"/>
        <v>45660950.666666664</v>
      </c>
      <c r="H24" s="109">
        <f t="shared" si="19"/>
        <v>45660950.666666664</v>
      </c>
      <c r="I24" s="109">
        <f t="shared" si="19"/>
        <v>45660950.666666664</v>
      </c>
      <c r="J24" s="109">
        <f t="shared" si="19"/>
        <v>45660950.666666664</v>
      </c>
      <c r="K24" s="109">
        <f t="shared" si="19"/>
        <v>45660950.666666664</v>
      </c>
      <c r="L24" s="109">
        <f t="shared" si="19"/>
        <v>45660950.666666664</v>
      </c>
      <c r="M24" s="109">
        <f t="shared" si="19"/>
        <v>45660950.666666664</v>
      </c>
      <c r="N24" s="109">
        <f t="shared" si="19"/>
        <v>45660950.666666664</v>
      </c>
      <c r="O24" s="113">
        <f>'9.1. sz. mell ÖNK'!C158</f>
        <v>547931408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148221778.66666666</v>
      </c>
      <c r="D25" s="114">
        <f t="shared" si="20"/>
        <v>148221778.66666666</v>
      </c>
      <c r="E25" s="114">
        <f t="shared" si="20"/>
        <v>148221778.66666666</v>
      </c>
      <c r="F25" s="114">
        <f t="shared" si="20"/>
        <v>148221778.66666666</v>
      </c>
      <c r="G25" s="114">
        <f t="shared" si="20"/>
        <v>148221778.66666666</v>
      </c>
      <c r="H25" s="114">
        <f t="shared" si="20"/>
        <v>148221778.66666666</v>
      </c>
      <c r="I25" s="114">
        <f t="shared" si="20"/>
        <v>148221778.66666666</v>
      </c>
      <c r="J25" s="114">
        <f t="shared" si="20"/>
        <v>148221778.66666666</v>
      </c>
      <c r="K25" s="114">
        <f t="shared" si="20"/>
        <v>148221778.66666666</v>
      </c>
      <c r="L25" s="114">
        <f t="shared" si="20"/>
        <v>148221778.66666666</v>
      </c>
      <c r="M25" s="114">
        <f t="shared" si="20"/>
        <v>148221778.66666666</v>
      </c>
      <c r="N25" s="114">
        <f t="shared" si="20"/>
        <v>148221778.66666666</v>
      </c>
      <c r="O25" s="115">
        <f>SUM(C25:N25)</f>
        <v>1778661344.0000002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0</v>
      </c>
      <c r="D26" s="118">
        <f t="shared" si="21"/>
        <v>0</v>
      </c>
      <c r="E26" s="118">
        <f t="shared" si="21"/>
        <v>0</v>
      </c>
      <c r="F26" s="118">
        <f t="shared" si="21"/>
        <v>0</v>
      </c>
      <c r="G26" s="118">
        <f t="shared" si="21"/>
        <v>0</v>
      </c>
      <c r="H26" s="118">
        <f t="shared" si="21"/>
        <v>0</v>
      </c>
      <c r="I26" s="118">
        <f t="shared" si="21"/>
        <v>0</v>
      </c>
      <c r="J26" s="118">
        <f t="shared" si="21"/>
        <v>0</v>
      </c>
      <c r="K26" s="118">
        <f t="shared" si="21"/>
        <v>0</v>
      </c>
      <c r="L26" s="118">
        <f t="shared" si="21"/>
        <v>0</v>
      </c>
      <c r="M26" s="118">
        <f t="shared" si="21"/>
        <v>0</v>
      </c>
      <c r="N26" s="118">
        <f t="shared" si="21"/>
        <v>0</v>
      </c>
      <c r="O26" s="119">
        <f t="shared" si="21"/>
        <v>0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topLeftCell="A7" zoomScaleNormal="100" workbookViewId="0">
      <selection activeCell="B32" sqref="B32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21" t="str">
        <f>+CONCATENATE("A ",LEFT(ÖSSZEFÜGGÉSEK!A5,4),". évi általános működés és ágazati feladatok támogatásának alakulása jogcímenként")</f>
        <v>A 2020. évi általános működés és ágazati feladatok támogatásának alakulása jogcímenként</v>
      </c>
      <c r="B1" s="721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2020.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576</v>
      </c>
      <c r="B5" s="414">
        <v>108820800</v>
      </c>
    </row>
    <row r="6" spans="1:3" ht="12.75" customHeight="1" x14ac:dyDescent="0.2">
      <c r="A6" s="125" t="s">
        <v>577</v>
      </c>
      <c r="B6" s="414">
        <f>SUM(B7:B10)</f>
        <v>41194329</v>
      </c>
    </row>
    <row r="7" spans="1:3" x14ac:dyDescent="0.2">
      <c r="A7" s="125" t="s">
        <v>578</v>
      </c>
      <c r="B7" s="559">
        <v>15961680</v>
      </c>
    </row>
    <row r="8" spans="1:3" x14ac:dyDescent="0.2">
      <c r="A8" s="125" t="s">
        <v>579</v>
      </c>
      <c r="B8" s="559">
        <v>14112000</v>
      </c>
    </row>
    <row r="9" spans="1:3" x14ac:dyDescent="0.2">
      <c r="A9" s="125" t="s">
        <v>580</v>
      </c>
      <c r="B9" s="559">
        <v>2076969</v>
      </c>
    </row>
    <row r="10" spans="1:3" x14ac:dyDescent="0.2">
      <c r="A10" s="125" t="s">
        <v>581</v>
      </c>
      <c r="B10" s="559">
        <v>9043680</v>
      </c>
    </row>
    <row r="11" spans="1:3" x14ac:dyDescent="0.2">
      <c r="A11" s="125" t="s">
        <v>582</v>
      </c>
      <c r="B11" s="414">
        <v>18719100</v>
      </c>
    </row>
    <row r="12" spans="1:3" x14ac:dyDescent="0.2">
      <c r="A12" s="125" t="s">
        <v>583</v>
      </c>
      <c r="B12" s="414">
        <v>17850</v>
      </c>
    </row>
    <row r="13" spans="1:3" x14ac:dyDescent="0.2">
      <c r="A13" s="125" t="s">
        <v>638</v>
      </c>
      <c r="B13" s="414">
        <v>0</v>
      </c>
    </row>
    <row r="14" spans="1:3" x14ac:dyDescent="0.2">
      <c r="A14" s="125" t="s">
        <v>601</v>
      </c>
      <c r="B14" s="414">
        <v>39450511</v>
      </c>
    </row>
    <row r="15" spans="1:3" x14ac:dyDescent="0.2">
      <c r="A15" s="125" t="s">
        <v>611</v>
      </c>
      <c r="B15" s="414">
        <v>1538000</v>
      </c>
    </row>
    <row r="16" spans="1:3" x14ac:dyDescent="0.2">
      <c r="A16" s="557" t="s">
        <v>584</v>
      </c>
      <c r="B16" s="560">
        <f>B5+B6+B11+B13+B12+B14+B15</f>
        <v>209740590</v>
      </c>
      <c r="C16" s="722" t="s">
        <v>515</v>
      </c>
    </row>
    <row r="17" spans="1:3" x14ac:dyDescent="0.2">
      <c r="A17" s="125"/>
      <c r="B17" s="414"/>
      <c r="C17" s="722"/>
    </row>
    <row r="18" spans="1:3" x14ac:dyDescent="0.2">
      <c r="A18" s="125" t="s">
        <v>587</v>
      </c>
      <c r="B18" s="558">
        <f>SUM(B19:B24)</f>
        <v>63549100</v>
      </c>
      <c r="C18" s="722"/>
    </row>
    <row r="19" spans="1:3" x14ac:dyDescent="0.2">
      <c r="A19" s="125" t="s">
        <v>612</v>
      </c>
      <c r="B19" s="559">
        <v>43715000</v>
      </c>
      <c r="C19" s="722"/>
    </row>
    <row r="20" spans="1:3" x14ac:dyDescent="0.2">
      <c r="A20" s="125" t="s">
        <v>613</v>
      </c>
      <c r="B20" s="559">
        <v>16800000</v>
      </c>
      <c r="C20" s="722"/>
    </row>
    <row r="21" spans="1:3" x14ac:dyDescent="0.2">
      <c r="A21" s="125" t="s">
        <v>614</v>
      </c>
      <c r="B21" s="559"/>
      <c r="C21" s="722"/>
    </row>
    <row r="22" spans="1:3" x14ac:dyDescent="0.2">
      <c r="A22" s="125" t="s">
        <v>615</v>
      </c>
      <c r="B22" s="559"/>
      <c r="C22" s="722"/>
    </row>
    <row r="23" spans="1:3" ht="22.5" x14ac:dyDescent="0.2">
      <c r="A23" s="125" t="s">
        <v>616</v>
      </c>
      <c r="B23" s="559">
        <v>1586800</v>
      </c>
      <c r="C23" s="722"/>
    </row>
    <row r="24" spans="1:3" ht="22.5" x14ac:dyDescent="0.2">
      <c r="A24" s="125" t="s">
        <v>639</v>
      </c>
      <c r="B24" s="559">
        <v>1447300</v>
      </c>
      <c r="C24" s="722"/>
    </row>
    <row r="25" spans="1:3" x14ac:dyDescent="0.2">
      <c r="A25" s="125" t="s">
        <v>588</v>
      </c>
      <c r="B25" s="558">
        <v>10743220</v>
      </c>
      <c r="C25" s="722"/>
    </row>
    <row r="26" spans="1:3" x14ac:dyDescent="0.2">
      <c r="A26" s="125" t="s">
        <v>585</v>
      </c>
      <c r="B26" s="414"/>
      <c r="C26" s="722"/>
    </row>
    <row r="27" spans="1:3" x14ac:dyDescent="0.2">
      <c r="A27" s="125" t="s">
        <v>586</v>
      </c>
      <c r="B27" s="414"/>
      <c r="C27" s="722"/>
    </row>
    <row r="28" spans="1:3" x14ac:dyDescent="0.2">
      <c r="A28" s="557" t="s">
        <v>589</v>
      </c>
      <c r="B28" s="560">
        <f>B18+B25</f>
        <v>74292320</v>
      </c>
      <c r="C28" s="722"/>
    </row>
    <row r="29" spans="1:3" x14ac:dyDescent="0.2">
      <c r="A29" s="557"/>
      <c r="B29" s="414"/>
      <c r="C29" s="722"/>
    </row>
    <row r="30" spans="1:3" x14ac:dyDescent="0.2">
      <c r="A30" s="125" t="s">
        <v>590</v>
      </c>
      <c r="B30" s="414">
        <v>62341106</v>
      </c>
      <c r="C30" s="722"/>
    </row>
    <row r="31" spans="1:3" x14ac:dyDescent="0.2">
      <c r="A31" s="125" t="s">
        <v>591</v>
      </c>
      <c r="B31" s="414">
        <v>13600000</v>
      </c>
      <c r="C31" s="722"/>
    </row>
    <row r="32" spans="1:3" x14ac:dyDescent="0.2">
      <c r="A32" s="125" t="s">
        <v>592</v>
      </c>
      <c r="B32" s="414">
        <v>23100000</v>
      </c>
      <c r="C32" s="722"/>
    </row>
    <row r="33" spans="1:3" x14ac:dyDescent="0.2">
      <c r="A33" s="125" t="s">
        <v>640</v>
      </c>
      <c r="B33" s="414">
        <v>11454362</v>
      </c>
      <c r="C33" s="722"/>
    </row>
    <row r="34" spans="1:3" x14ac:dyDescent="0.2">
      <c r="A34" s="125" t="s">
        <v>593</v>
      </c>
      <c r="B34" s="414">
        <v>30778000</v>
      </c>
      <c r="C34" s="722"/>
    </row>
    <row r="35" spans="1:3" x14ac:dyDescent="0.2">
      <c r="A35" s="125" t="s">
        <v>594</v>
      </c>
      <c r="B35" s="414">
        <v>48928596</v>
      </c>
      <c r="C35" s="722"/>
    </row>
    <row r="36" spans="1:3" x14ac:dyDescent="0.2">
      <c r="A36" s="126" t="s">
        <v>595</v>
      </c>
      <c r="B36" s="414">
        <v>6264300</v>
      </c>
      <c r="C36" s="722"/>
    </row>
    <row r="37" spans="1:3" ht="21" x14ac:dyDescent="0.2">
      <c r="A37" s="561" t="s">
        <v>596</v>
      </c>
      <c r="B37" s="560">
        <f>SUM(B30:B36)</f>
        <v>196466364</v>
      </c>
      <c r="C37" s="722"/>
    </row>
    <row r="38" spans="1:3" x14ac:dyDescent="0.2">
      <c r="A38" s="126"/>
      <c r="B38" s="414"/>
      <c r="C38" s="722"/>
    </row>
    <row r="39" spans="1:3" ht="21.75" thickBot="1" x14ac:dyDescent="0.25">
      <c r="A39" s="561" t="s">
        <v>597</v>
      </c>
      <c r="B39" s="560">
        <v>8673183</v>
      </c>
      <c r="C39" s="722"/>
    </row>
    <row r="40" spans="1:3" s="53" customFormat="1" ht="19.5" customHeight="1" thickBot="1" x14ac:dyDescent="0.25">
      <c r="A40" s="36" t="s">
        <v>50</v>
      </c>
      <c r="B40" s="52">
        <f>B16+B28+B37+B39</f>
        <v>489172457</v>
      </c>
      <c r="C40" s="722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A4" sqref="A4:D6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6" t="str">
        <f>+CONCATENATE("K I M U T A T Á S",CHAR(10),"a ",LEFT(ÖSSZEFÜGGÉSEK!A5,4),". évben céljelleggel juttatott támogatásokról")</f>
        <v>K I M U T A T Á S
a 2020. évben céljelleggel juttatott támogatásokról</v>
      </c>
      <c r="B1" s="726"/>
      <c r="C1" s="726"/>
      <c r="D1" s="726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23" t="s">
        <v>561</v>
      </c>
      <c r="D3" s="723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75" t="s">
        <v>697</v>
      </c>
      <c r="C5" s="579" t="s">
        <v>563</v>
      </c>
      <c r="D5" s="29">
        <v>20200000</v>
      </c>
    </row>
    <row r="6" spans="1:4" ht="17.25" customHeight="1" x14ac:dyDescent="0.2">
      <c r="A6" s="218" t="s">
        <v>16</v>
      </c>
      <c r="B6" s="577" t="s">
        <v>698</v>
      </c>
      <c r="C6" s="30" t="s">
        <v>563</v>
      </c>
      <c r="D6" s="578">
        <v>16050000</v>
      </c>
    </row>
    <row r="7" spans="1:4" ht="15.95" customHeight="1" x14ac:dyDescent="0.2">
      <c r="A7" s="218" t="s">
        <v>17</v>
      </c>
      <c r="B7" s="30"/>
      <c r="C7" s="30"/>
      <c r="D7" s="31"/>
    </row>
    <row r="8" spans="1:4" ht="15.95" customHeight="1" x14ac:dyDescent="0.2">
      <c r="A8" s="218" t="s">
        <v>18</v>
      </c>
      <c r="B8" s="30"/>
      <c r="C8" s="30"/>
      <c r="D8" s="31"/>
    </row>
    <row r="9" spans="1:4" ht="15.95" customHeight="1" x14ac:dyDescent="0.2">
      <c r="A9" s="218" t="s">
        <v>19</v>
      </c>
      <c r="B9" s="30"/>
      <c r="C9" s="540"/>
      <c r="D9" s="31"/>
    </row>
    <row r="10" spans="1:4" ht="15.95" customHeight="1" x14ac:dyDescent="0.2">
      <c r="A10" s="218" t="s">
        <v>20</v>
      </c>
      <c r="B10" s="30"/>
      <c r="C10" s="540"/>
      <c r="D10" s="31"/>
    </row>
    <row r="11" spans="1:4" ht="15.95" customHeight="1" x14ac:dyDescent="0.2">
      <c r="A11" s="218" t="s">
        <v>21</v>
      </c>
      <c r="B11" s="30"/>
      <c r="C11" s="540"/>
      <c r="D11" s="31"/>
    </row>
    <row r="12" spans="1:4" ht="15.95" customHeight="1" x14ac:dyDescent="0.2">
      <c r="A12" s="218" t="s">
        <v>22</v>
      </c>
      <c r="B12" s="30"/>
      <c r="C12" s="540"/>
      <c r="D12" s="31"/>
    </row>
    <row r="13" spans="1:4" ht="15.95" customHeight="1" x14ac:dyDescent="0.2">
      <c r="A13" s="218" t="s">
        <v>23</v>
      </c>
      <c r="B13" s="30"/>
      <c r="C13" s="540"/>
      <c r="D13" s="31"/>
    </row>
    <row r="14" spans="1:4" ht="15.95" customHeight="1" x14ac:dyDescent="0.2">
      <c r="A14" s="218" t="s">
        <v>24</v>
      </c>
      <c r="B14" s="30"/>
      <c r="C14" s="540"/>
      <c r="D14" s="31"/>
    </row>
    <row r="15" spans="1:4" ht="15.95" customHeight="1" x14ac:dyDescent="0.2">
      <c r="A15" s="218" t="s">
        <v>25</v>
      </c>
      <c r="B15" s="30"/>
      <c r="C15" s="30"/>
      <c r="D15" s="31"/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626</v>
      </c>
      <c r="B38" s="32"/>
      <c r="C38" s="32"/>
      <c r="D38" s="88"/>
    </row>
    <row r="39" spans="1:4" ht="15.95" customHeight="1" thickBot="1" x14ac:dyDescent="0.25">
      <c r="A39" s="724" t="s">
        <v>50</v>
      </c>
      <c r="B39" s="725"/>
      <c r="C39" s="220"/>
      <c r="D39" s="221">
        <f>SUM(D5:D38)</f>
        <v>36250000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C5" sqref="C5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0" t="s">
        <v>12</v>
      </c>
      <c r="B1" s="670"/>
      <c r="C1" s="670"/>
      <c r="D1" s="670"/>
      <c r="E1" s="670"/>
    </row>
    <row r="2" spans="1:5" ht="15.95" customHeight="1" thickBot="1" x14ac:dyDescent="0.3">
      <c r="A2" s="671" t="s">
        <v>145</v>
      </c>
      <c r="B2" s="671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2021. évi</v>
      </c>
      <c r="D3" s="413" t="str">
        <f>+CONCATENATE(LEFT(ÖSSZEFÜGGÉSEK!A5,4)+2,". évi")</f>
        <v>2022. évi</v>
      </c>
      <c r="E3" s="168" t="str">
        <f>+CONCATENATE(LEFT(ÖSSZEFÜGGÉSEK!A5,4)+3,". évi")</f>
        <v>2023.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542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543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544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545</v>
      </c>
      <c r="C12" s="406"/>
      <c r="D12" s="406"/>
      <c r="E12" s="279"/>
    </row>
    <row r="13" spans="1:5" s="424" customFormat="1" ht="12" customHeight="1" x14ac:dyDescent="0.2">
      <c r="A13" s="14" t="s">
        <v>539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540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541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0" t="s">
        <v>44</v>
      </c>
      <c r="B24" s="670"/>
      <c r="C24" s="670"/>
      <c r="D24" s="670"/>
      <c r="E24" s="670"/>
    </row>
    <row r="25" spans="1:6" s="424" customFormat="1" ht="12" customHeight="1" thickBot="1" x14ac:dyDescent="0.25">
      <c r="A25" s="672" t="s">
        <v>146</v>
      </c>
      <c r="B25" s="672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2021. évi</v>
      </c>
      <c r="D26" s="24" t="str">
        <f>+D3</f>
        <v>2022. évi</v>
      </c>
      <c r="E26" s="168" t="str">
        <f>+E3</f>
        <v>2023.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2020.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2"/>
  <sheetViews>
    <sheetView view="pageBreakPreview" zoomScaleNormal="130" zoomScaleSheetLayoutView="100" workbookViewId="0">
      <selection activeCell="A7" sqref="A7:B11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0" t="s">
        <v>12</v>
      </c>
      <c r="B1" s="670"/>
      <c r="C1" s="670"/>
    </row>
    <row r="2" spans="1:3" ht="15.95" customHeight="1" thickBot="1" x14ac:dyDescent="0.3">
      <c r="A2" s="671" t="s">
        <v>145</v>
      </c>
      <c r="B2" s="671"/>
      <c r="C2" s="306" t="s">
        <v>562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2020.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+C6+C7+C10+C11+C12+C13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710</v>
      </c>
      <c r="C7" s="298"/>
    </row>
    <row r="8" spans="1:3" s="424" customFormat="1" ht="12" customHeight="1" x14ac:dyDescent="0.2">
      <c r="A8" s="14" t="s">
        <v>712</v>
      </c>
      <c r="B8" s="426" t="s">
        <v>708</v>
      </c>
      <c r="C8" s="298"/>
    </row>
    <row r="9" spans="1:3" s="424" customFormat="1" ht="12" customHeight="1" x14ac:dyDescent="0.2">
      <c r="A9" s="14" t="s">
        <v>713</v>
      </c>
      <c r="B9" s="426" t="s">
        <v>709</v>
      </c>
      <c r="C9" s="298"/>
    </row>
    <row r="10" spans="1:3" s="424" customFormat="1" ht="21.75" customHeight="1" x14ac:dyDescent="0.2">
      <c r="A10" s="14" t="s">
        <v>94</v>
      </c>
      <c r="B10" s="426" t="s">
        <v>714</v>
      </c>
      <c r="C10" s="298"/>
    </row>
    <row r="11" spans="1:3" s="424" customFormat="1" ht="12" customHeight="1" x14ac:dyDescent="0.2">
      <c r="A11" s="14" t="s">
        <v>95</v>
      </c>
      <c r="B11" s="426" t="s">
        <v>711</v>
      </c>
      <c r="C11" s="298"/>
    </row>
    <row r="12" spans="1:3" s="424" customFormat="1" ht="12" customHeight="1" x14ac:dyDescent="0.2">
      <c r="A12" s="14" t="s">
        <v>141</v>
      </c>
      <c r="B12" s="292" t="s">
        <v>424</v>
      </c>
      <c r="C12" s="298"/>
    </row>
    <row r="13" spans="1:3" s="424" customFormat="1" ht="12" customHeight="1" thickBot="1" x14ac:dyDescent="0.25">
      <c r="A13" s="16" t="s">
        <v>96</v>
      </c>
      <c r="B13" s="293" t="s">
        <v>425</v>
      </c>
      <c r="C13" s="298"/>
    </row>
    <row r="14" spans="1:3" s="424" customFormat="1" ht="12" customHeight="1" thickBot="1" x14ac:dyDescent="0.25">
      <c r="A14" s="20" t="s">
        <v>16</v>
      </c>
      <c r="B14" s="291" t="s">
        <v>245</v>
      </c>
      <c r="C14" s="296">
        <f>+C15+C16+C17+C18+C19</f>
        <v>0</v>
      </c>
    </row>
    <row r="15" spans="1:3" s="424" customFormat="1" ht="12" customHeight="1" x14ac:dyDescent="0.2">
      <c r="A15" s="15" t="s">
        <v>98</v>
      </c>
      <c r="B15" s="425" t="s">
        <v>246</v>
      </c>
      <c r="C15" s="299"/>
    </row>
    <row r="16" spans="1:3" s="424" customFormat="1" ht="12" customHeight="1" x14ac:dyDescent="0.2">
      <c r="A16" s="14" t="s">
        <v>99</v>
      </c>
      <c r="B16" s="426" t="s">
        <v>247</v>
      </c>
      <c r="C16" s="298"/>
    </row>
    <row r="17" spans="1:3" s="424" customFormat="1" ht="12" customHeight="1" x14ac:dyDescent="0.2">
      <c r="A17" s="14" t="s">
        <v>100</v>
      </c>
      <c r="B17" s="426" t="s">
        <v>414</v>
      </c>
      <c r="C17" s="298"/>
    </row>
    <row r="18" spans="1:3" s="424" customFormat="1" ht="12" customHeight="1" x14ac:dyDescent="0.2">
      <c r="A18" s="14" t="s">
        <v>101</v>
      </c>
      <c r="B18" s="426" t="s">
        <v>415</v>
      </c>
      <c r="C18" s="298"/>
    </row>
    <row r="19" spans="1:3" s="424" customFormat="1" ht="12" customHeight="1" x14ac:dyDescent="0.2">
      <c r="A19" s="14" t="s">
        <v>102</v>
      </c>
      <c r="B19" s="426" t="s">
        <v>248</v>
      </c>
      <c r="C19" s="298"/>
    </row>
    <row r="20" spans="1:3" s="424" customFormat="1" ht="12" customHeight="1" thickBot="1" x14ac:dyDescent="0.25">
      <c r="A20" s="16" t="s">
        <v>111</v>
      </c>
      <c r="B20" s="293" t="s">
        <v>249</v>
      </c>
      <c r="C20" s="300"/>
    </row>
    <row r="21" spans="1:3" s="424" customFormat="1" ht="12" customHeight="1" thickBot="1" x14ac:dyDescent="0.25">
      <c r="A21" s="20" t="s">
        <v>17</v>
      </c>
      <c r="B21" s="21" t="s">
        <v>250</v>
      </c>
      <c r="C21" s="296">
        <f>+C22+C23+C24+C25+C26</f>
        <v>0</v>
      </c>
    </row>
    <row r="22" spans="1:3" s="424" customFormat="1" ht="12" customHeight="1" x14ac:dyDescent="0.2">
      <c r="A22" s="15" t="s">
        <v>81</v>
      </c>
      <c r="B22" s="425" t="s">
        <v>251</v>
      </c>
      <c r="C22" s="299"/>
    </row>
    <row r="23" spans="1:3" s="424" customFormat="1" ht="12" customHeight="1" x14ac:dyDescent="0.2">
      <c r="A23" s="14" t="s">
        <v>82</v>
      </c>
      <c r="B23" s="426" t="s">
        <v>252</v>
      </c>
      <c r="C23" s="298"/>
    </row>
    <row r="24" spans="1:3" s="424" customFormat="1" ht="12" customHeight="1" x14ac:dyDescent="0.2">
      <c r="A24" s="14" t="s">
        <v>83</v>
      </c>
      <c r="B24" s="426" t="s">
        <v>416</v>
      </c>
      <c r="C24" s="298"/>
    </row>
    <row r="25" spans="1:3" s="424" customFormat="1" ht="12" customHeight="1" x14ac:dyDescent="0.2">
      <c r="A25" s="14" t="s">
        <v>84</v>
      </c>
      <c r="B25" s="426" t="s">
        <v>417</v>
      </c>
      <c r="C25" s="298"/>
    </row>
    <row r="26" spans="1:3" s="424" customFormat="1" ht="12" customHeight="1" x14ac:dyDescent="0.2">
      <c r="A26" s="14" t="s">
        <v>160</v>
      </c>
      <c r="B26" s="426" t="s">
        <v>253</v>
      </c>
      <c r="C26" s="298"/>
    </row>
    <row r="27" spans="1:3" s="424" customFormat="1" ht="12" customHeight="1" thickBot="1" x14ac:dyDescent="0.25">
      <c r="A27" s="16" t="s">
        <v>161</v>
      </c>
      <c r="B27" s="427" t="s">
        <v>254</v>
      </c>
      <c r="C27" s="300"/>
    </row>
    <row r="28" spans="1:3" s="424" customFormat="1" ht="12" customHeight="1" thickBot="1" x14ac:dyDescent="0.25">
      <c r="A28" s="20" t="s">
        <v>162</v>
      </c>
      <c r="B28" s="21" t="s">
        <v>547</v>
      </c>
      <c r="C28" s="302">
        <f>SUM(C29:C36)</f>
        <v>0</v>
      </c>
    </row>
    <row r="29" spans="1:3" s="424" customFormat="1" ht="12" customHeight="1" x14ac:dyDescent="0.2">
      <c r="A29" s="15" t="s">
        <v>256</v>
      </c>
      <c r="B29" s="425" t="s">
        <v>542</v>
      </c>
      <c r="C29" s="299"/>
    </row>
    <row r="30" spans="1:3" s="424" customFormat="1" ht="12" customHeight="1" x14ac:dyDescent="0.2">
      <c r="A30" s="14" t="s">
        <v>257</v>
      </c>
      <c r="B30" s="426" t="s">
        <v>543</v>
      </c>
      <c r="C30" s="298"/>
    </row>
    <row r="31" spans="1:3" s="424" customFormat="1" ht="12" customHeight="1" x14ac:dyDescent="0.2">
      <c r="A31" s="14" t="s">
        <v>258</v>
      </c>
      <c r="B31" s="426" t="s">
        <v>618</v>
      </c>
      <c r="C31" s="298"/>
    </row>
    <row r="32" spans="1:3" s="424" customFormat="1" ht="12" customHeight="1" x14ac:dyDescent="0.2">
      <c r="A32" s="14" t="s">
        <v>259</v>
      </c>
      <c r="B32" s="426" t="s">
        <v>544</v>
      </c>
      <c r="C32" s="298"/>
    </row>
    <row r="33" spans="1:3" s="424" customFormat="1" ht="12" customHeight="1" x14ac:dyDescent="0.2">
      <c r="A33" s="14" t="s">
        <v>539</v>
      </c>
      <c r="B33" s="426" t="s">
        <v>545</v>
      </c>
      <c r="C33" s="298"/>
    </row>
    <row r="34" spans="1:3" s="424" customFormat="1" ht="12" customHeight="1" x14ac:dyDescent="0.2">
      <c r="A34" s="14" t="s">
        <v>540</v>
      </c>
      <c r="B34" s="426" t="s">
        <v>260</v>
      </c>
      <c r="C34" s="298"/>
    </row>
    <row r="35" spans="1:3" s="424" customFormat="1" ht="12" customHeight="1" x14ac:dyDescent="0.2">
      <c r="A35" s="16" t="s">
        <v>541</v>
      </c>
      <c r="B35" s="426" t="s">
        <v>261</v>
      </c>
      <c r="C35" s="298"/>
    </row>
    <row r="36" spans="1:3" s="424" customFormat="1" ht="12" customHeight="1" thickBot="1" x14ac:dyDescent="0.25">
      <c r="A36" s="16" t="s">
        <v>619</v>
      </c>
      <c r="B36" s="522" t="s">
        <v>262</v>
      </c>
      <c r="C36" s="300"/>
    </row>
    <row r="37" spans="1:3" s="424" customFormat="1" ht="12" customHeight="1" thickBot="1" x14ac:dyDescent="0.25">
      <c r="A37" s="20" t="s">
        <v>19</v>
      </c>
      <c r="B37" s="21" t="s">
        <v>426</v>
      </c>
      <c r="C37" s="296">
        <f>SUM(C38:C48)</f>
        <v>0</v>
      </c>
    </row>
    <row r="38" spans="1:3" s="424" customFormat="1" ht="12" customHeight="1" x14ac:dyDescent="0.2">
      <c r="A38" s="15" t="s">
        <v>85</v>
      </c>
      <c r="B38" s="425" t="s">
        <v>265</v>
      </c>
      <c r="C38" s="299"/>
    </row>
    <row r="39" spans="1:3" s="424" customFormat="1" ht="12" customHeight="1" x14ac:dyDescent="0.2">
      <c r="A39" s="14" t="s">
        <v>86</v>
      </c>
      <c r="B39" s="426" t="s">
        <v>266</v>
      </c>
      <c r="C39" s="298"/>
    </row>
    <row r="40" spans="1:3" s="424" customFormat="1" ht="12" customHeight="1" x14ac:dyDescent="0.2">
      <c r="A40" s="14" t="s">
        <v>87</v>
      </c>
      <c r="B40" s="426" t="s">
        <v>267</v>
      </c>
      <c r="C40" s="298"/>
    </row>
    <row r="41" spans="1:3" s="424" customFormat="1" ht="12" customHeight="1" x14ac:dyDescent="0.2">
      <c r="A41" s="14" t="s">
        <v>164</v>
      </c>
      <c r="B41" s="426" t="s">
        <v>268</v>
      </c>
      <c r="C41" s="298"/>
    </row>
    <row r="42" spans="1:3" s="424" customFormat="1" ht="12" customHeight="1" x14ac:dyDescent="0.2">
      <c r="A42" s="14" t="s">
        <v>165</v>
      </c>
      <c r="B42" s="426" t="s">
        <v>269</v>
      </c>
      <c r="C42" s="298"/>
    </row>
    <row r="43" spans="1:3" s="424" customFormat="1" ht="12" customHeight="1" x14ac:dyDescent="0.2">
      <c r="A43" s="14" t="s">
        <v>166</v>
      </c>
      <c r="B43" s="426" t="s">
        <v>270</v>
      </c>
      <c r="C43" s="298"/>
    </row>
    <row r="44" spans="1:3" s="424" customFormat="1" ht="12" customHeight="1" x14ac:dyDescent="0.2">
      <c r="A44" s="14" t="s">
        <v>167</v>
      </c>
      <c r="B44" s="426" t="s">
        <v>271</v>
      </c>
      <c r="C44" s="298"/>
    </row>
    <row r="45" spans="1:3" s="424" customFormat="1" ht="12" customHeight="1" x14ac:dyDescent="0.2">
      <c r="A45" s="14" t="s">
        <v>168</v>
      </c>
      <c r="B45" s="426" t="s">
        <v>546</v>
      </c>
      <c r="C45" s="298"/>
    </row>
    <row r="46" spans="1:3" s="424" customFormat="1" ht="12" customHeight="1" x14ac:dyDescent="0.2">
      <c r="A46" s="14" t="s">
        <v>263</v>
      </c>
      <c r="B46" s="426" t="s">
        <v>273</v>
      </c>
      <c r="C46" s="301"/>
    </row>
    <row r="47" spans="1:3" s="424" customFormat="1" ht="12" customHeight="1" x14ac:dyDescent="0.2">
      <c r="A47" s="16" t="s">
        <v>264</v>
      </c>
      <c r="B47" s="427" t="s">
        <v>428</v>
      </c>
      <c r="C47" s="411"/>
    </row>
    <row r="48" spans="1:3" s="424" customFormat="1" ht="12" customHeight="1" thickBot="1" x14ac:dyDescent="0.25">
      <c r="A48" s="16" t="s">
        <v>427</v>
      </c>
      <c r="B48" s="293" t="s">
        <v>274</v>
      </c>
      <c r="C48" s="411"/>
    </row>
    <row r="49" spans="1:3" s="424" customFormat="1" ht="12" customHeight="1" thickBot="1" x14ac:dyDescent="0.25">
      <c r="A49" s="20" t="s">
        <v>20</v>
      </c>
      <c r="B49" s="21" t="s">
        <v>275</v>
      </c>
      <c r="C49" s="296">
        <f>SUM(C50:C54)</f>
        <v>0</v>
      </c>
    </row>
    <row r="50" spans="1:3" s="424" customFormat="1" ht="12" customHeight="1" x14ac:dyDescent="0.2">
      <c r="A50" s="15" t="s">
        <v>88</v>
      </c>
      <c r="B50" s="425" t="s">
        <v>279</v>
      </c>
      <c r="C50" s="470"/>
    </row>
    <row r="51" spans="1:3" s="424" customFormat="1" ht="12" customHeight="1" x14ac:dyDescent="0.2">
      <c r="A51" s="14" t="s">
        <v>89</v>
      </c>
      <c r="B51" s="426" t="s">
        <v>280</v>
      </c>
      <c r="C51" s="301"/>
    </row>
    <row r="52" spans="1:3" s="424" customFormat="1" ht="12" customHeight="1" x14ac:dyDescent="0.2">
      <c r="A52" s="14" t="s">
        <v>276</v>
      </c>
      <c r="B52" s="426" t="s">
        <v>281</v>
      </c>
      <c r="C52" s="301"/>
    </row>
    <row r="53" spans="1:3" s="424" customFormat="1" ht="12" customHeight="1" x14ac:dyDescent="0.2">
      <c r="A53" s="14" t="s">
        <v>277</v>
      </c>
      <c r="B53" s="426" t="s">
        <v>282</v>
      </c>
      <c r="C53" s="301"/>
    </row>
    <row r="54" spans="1:3" s="424" customFormat="1" ht="12" customHeight="1" thickBot="1" x14ac:dyDescent="0.25">
      <c r="A54" s="16" t="s">
        <v>278</v>
      </c>
      <c r="B54" s="293" t="s">
        <v>283</v>
      </c>
      <c r="C54" s="411"/>
    </row>
    <row r="55" spans="1:3" s="424" customFormat="1" ht="12" customHeight="1" thickBot="1" x14ac:dyDescent="0.25">
      <c r="A55" s="20" t="s">
        <v>169</v>
      </c>
      <c r="B55" s="21" t="s">
        <v>284</v>
      </c>
      <c r="C55" s="296">
        <f>SUM(C56:C58)</f>
        <v>0</v>
      </c>
    </row>
    <row r="56" spans="1:3" s="424" customFormat="1" ht="12" customHeight="1" x14ac:dyDescent="0.2">
      <c r="A56" s="15" t="s">
        <v>90</v>
      </c>
      <c r="B56" s="425" t="s">
        <v>285</v>
      </c>
      <c r="C56" s="299"/>
    </row>
    <row r="57" spans="1:3" s="424" customFormat="1" ht="12" customHeight="1" x14ac:dyDescent="0.2">
      <c r="A57" s="14" t="s">
        <v>91</v>
      </c>
      <c r="B57" s="426" t="s">
        <v>418</v>
      </c>
      <c r="C57" s="298"/>
    </row>
    <row r="58" spans="1:3" s="424" customFormat="1" ht="12" customHeight="1" x14ac:dyDescent="0.2">
      <c r="A58" s="14" t="s">
        <v>288</v>
      </c>
      <c r="B58" s="426" t="s">
        <v>286</v>
      </c>
      <c r="C58" s="298"/>
    </row>
    <row r="59" spans="1:3" s="424" customFormat="1" ht="12" customHeight="1" thickBot="1" x14ac:dyDescent="0.25">
      <c r="A59" s="16" t="s">
        <v>289</v>
      </c>
      <c r="B59" s="293" t="s">
        <v>287</v>
      </c>
      <c r="C59" s="300"/>
    </row>
    <row r="60" spans="1:3" s="424" customFormat="1" ht="12" customHeight="1" thickBot="1" x14ac:dyDescent="0.25">
      <c r="A60" s="20" t="s">
        <v>22</v>
      </c>
      <c r="B60" s="291" t="s">
        <v>290</v>
      </c>
      <c r="C60" s="296">
        <f>SUM(C61:C63)</f>
        <v>0</v>
      </c>
    </row>
    <row r="61" spans="1:3" s="424" customFormat="1" ht="12" customHeight="1" x14ac:dyDescent="0.2">
      <c r="A61" s="15" t="s">
        <v>170</v>
      </c>
      <c r="B61" s="425" t="s">
        <v>292</v>
      </c>
      <c r="C61" s="301"/>
    </row>
    <row r="62" spans="1:3" s="424" customFormat="1" ht="12" customHeight="1" x14ac:dyDescent="0.2">
      <c r="A62" s="14" t="s">
        <v>171</v>
      </c>
      <c r="B62" s="426" t="s">
        <v>419</v>
      </c>
      <c r="C62" s="301"/>
    </row>
    <row r="63" spans="1:3" s="424" customFormat="1" ht="12" customHeight="1" x14ac:dyDescent="0.2">
      <c r="A63" s="14" t="s">
        <v>216</v>
      </c>
      <c r="B63" s="426" t="s">
        <v>293</v>
      </c>
      <c r="C63" s="301"/>
    </row>
    <row r="64" spans="1:3" s="424" customFormat="1" ht="12" customHeight="1" thickBot="1" x14ac:dyDescent="0.25">
      <c r="A64" s="16" t="s">
        <v>291</v>
      </c>
      <c r="B64" s="293" t="s">
        <v>294</v>
      </c>
      <c r="C64" s="301"/>
    </row>
    <row r="65" spans="1:3" s="424" customFormat="1" ht="12" customHeight="1" thickBot="1" x14ac:dyDescent="0.25">
      <c r="A65" s="494" t="s">
        <v>468</v>
      </c>
      <c r="B65" s="21" t="s">
        <v>295</v>
      </c>
      <c r="C65" s="302">
        <f>+C5+C14+C21+C28+C37+C49+C55+C60</f>
        <v>0</v>
      </c>
    </row>
    <row r="66" spans="1:3" s="424" customFormat="1" ht="12" customHeight="1" thickBot="1" x14ac:dyDescent="0.25">
      <c r="A66" s="473" t="s">
        <v>296</v>
      </c>
      <c r="B66" s="291" t="s">
        <v>297</v>
      </c>
      <c r="C66" s="296">
        <f>SUM(C67:C69)</f>
        <v>0</v>
      </c>
    </row>
    <row r="67" spans="1:3" s="424" customFormat="1" ht="12" customHeight="1" x14ac:dyDescent="0.2">
      <c r="A67" s="15" t="s">
        <v>328</v>
      </c>
      <c r="B67" s="425" t="s">
        <v>298</v>
      </c>
      <c r="C67" s="301"/>
    </row>
    <row r="68" spans="1:3" s="424" customFormat="1" ht="12" customHeight="1" x14ac:dyDescent="0.2">
      <c r="A68" s="14" t="s">
        <v>337</v>
      </c>
      <c r="B68" s="426" t="s">
        <v>299</v>
      </c>
      <c r="C68" s="301"/>
    </row>
    <row r="69" spans="1:3" s="424" customFormat="1" ht="12" customHeight="1" thickBot="1" x14ac:dyDescent="0.25">
      <c r="A69" s="16" t="s">
        <v>338</v>
      </c>
      <c r="B69" s="488" t="s">
        <v>453</v>
      </c>
      <c r="C69" s="301"/>
    </row>
    <row r="70" spans="1:3" s="424" customFormat="1" ht="12" customHeight="1" thickBot="1" x14ac:dyDescent="0.25">
      <c r="A70" s="473" t="s">
        <v>301</v>
      </c>
      <c r="B70" s="291" t="s">
        <v>302</v>
      </c>
      <c r="C70" s="296">
        <f>SUM(C71:C74)</f>
        <v>0</v>
      </c>
    </row>
    <row r="71" spans="1:3" s="424" customFormat="1" ht="12" customHeight="1" x14ac:dyDescent="0.2">
      <c r="A71" s="15" t="s">
        <v>142</v>
      </c>
      <c r="B71" s="425" t="s">
        <v>303</v>
      </c>
      <c r="C71" s="301"/>
    </row>
    <row r="72" spans="1:3" s="424" customFormat="1" ht="12" customHeight="1" x14ac:dyDescent="0.2">
      <c r="A72" s="14" t="s">
        <v>143</v>
      </c>
      <c r="B72" s="426" t="s">
        <v>304</v>
      </c>
      <c r="C72" s="301"/>
    </row>
    <row r="73" spans="1:3" s="424" customFormat="1" ht="12" customHeight="1" x14ac:dyDescent="0.2">
      <c r="A73" s="14" t="s">
        <v>329</v>
      </c>
      <c r="B73" s="426" t="s">
        <v>305</v>
      </c>
      <c r="C73" s="301"/>
    </row>
    <row r="74" spans="1:3" s="424" customFormat="1" ht="12" customHeight="1" thickBot="1" x14ac:dyDescent="0.25">
      <c r="A74" s="16" t="s">
        <v>330</v>
      </c>
      <c r="B74" s="293" t="s">
        <v>306</v>
      </c>
      <c r="C74" s="301"/>
    </row>
    <row r="75" spans="1:3" s="424" customFormat="1" ht="12" customHeight="1" thickBot="1" x14ac:dyDescent="0.25">
      <c r="A75" s="473" t="s">
        <v>307</v>
      </c>
      <c r="B75" s="291" t="s">
        <v>308</v>
      </c>
      <c r="C75" s="296">
        <f>SUM(C76:C77)</f>
        <v>0</v>
      </c>
    </row>
    <row r="76" spans="1:3" s="424" customFormat="1" ht="12" customHeight="1" x14ac:dyDescent="0.2">
      <c r="A76" s="15" t="s">
        <v>331</v>
      </c>
      <c r="B76" s="425" t="s">
        <v>309</v>
      </c>
      <c r="C76" s="301"/>
    </row>
    <row r="77" spans="1:3" s="424" customFormat="1" ht="12" customHeight="1" thickBot="1" x14ac:dyDescent="0.25">
      <c r="A77" s="16" t="s">
        <v>332</v>
      </c>
      <c r="B77" s="293" t="s">
        <v>310</v>
      </c>
      <c r="C77" s="301"/>
    </row>
    <row r="78" spans="1:3" s="424" customFormat="1" ht="12" customHeight="1" thickBot="1" x14ac:dyDescent="0.25">
      <c r="A78" s="473" t="s">
        <v>311</v>
      </c>
      <c r="B78" s="291" t="s">
        <v>312</v>
      </c>
      <c r="C78" s="296">
        <f>SUM(C79:C81)</f>
        <v>0</v>
      </c>
    </row>
    <row r="79" spans="1:3" s="424" customFormat="1" ht="12" customHeight="1" x14ac:dyDescent="0.2">
      <c r="A79" s="15" t="s">
        <v>333</v>
      </c>
      <c r="B79" s="425" t="s">
        <v>313</v>
      </c>
      <c r="C79" s="301"/>
    </row>
    <row r="80" spans="1:3" s="424" customFormat="1" ht="12" customHeight="1" x14ac:dyDescent="0.2">
      <c r="A80" s="14" t="s">
        <v>334</v>
      </c>
      <c r="B80" s="426" t="s">
        <v>314</v>
      </c>
      <c r="C80" s="301"/>
    </row>
    <row r="81" spans="1:3" s="424" customFormat="1" ht="12" customHeight="1" thickBot="1" x14ac:dyDescent="0.25">
      <c r="A81" s="16" t="s">
        <v>335</v>
      </c>
      <c r="B81" s="293" t="s">
        <v>315</v>
      </c>
      <c r="C81" s="301"/>
    </row>
    <row r="82" spans="1:3" s="424" customFormat="1" ht="12" customHeight="1" thickBot="1" x14ac:dyDescent="0.25">
      <c r="A82" s="473" t="s">
        <v>316</v>
      </c>
      <c r="B82" s="291" t="s">
        <v>336</v>
      </c>
      <c r="C82" s="296">
        <f>SUM(C83:C86)</f>
        <v>0</v>
      </c>
    </row>
    <row r="83" spans="1:3" s="424" customFormat="1" ht="12" customHeight="1" x14ac:dyDescent="0.2">
      <c r="A83" s="429" t="s">
        <v>317</v>
      </c>
      <c r="B83" s="425" t="s">
        <v>318</v>
      </c>
      <c r="C83" s="301"/>
    </row>
    <row r="84" spans="1:3" s="424" customFormat="1" ht="12" customHeight="1" x14ac:dyDescent="0.2">
      <c r="A84" s="430" t="s">
        <v>319</v>
      </c>
      <c r="B84" s="426" t="s">
        <v>320</v>
      </c>
      <c r="C84" s="301"/>
    </row>
    <row r="85" spans="1:3" s="424" customFormat="1" ht="12" customHeight="1" x14ac:dyDescent="0.2">
      <c r="A85" s="430" t="s">
        <v>321</v>
      </c>
      <c r="B85" s="426" t="s">
        <v>322</v>
      </c>
      <c r="C85" s="301"/>
    </row>
    <row r="86" spans="1:3" s="424" customFormat="1" ht="12" customHeight="1" thickBot="1" x14ac:dyDescent="0.25">
      <c r="A86" s="431" t="s">
        <v>323</v>
      </c>
      <c r="B86" s="293" t="s">
        <v>324</v>
      </c>
      <c r="C86" s="301"/>
    </row>
    <row r="87" spans="1:3" s="424" customFormat="1" ht="12" customHeight="1" thickBot="1" x14ac:dyDescent="0.25">
      <c r="A87" s="473" t="s">
        <v>325</v>
      </c>
      <c r="B87" s="291" t="s">
        <v>467</v>
      </c>
      <c r="C87" s="471"/>
    </row>
    <row r="88" spans="1:3" s="424" customFormat="1" ht="13.5" customHeight="1" thickBot="1" x14ac:dyDescent="0.25">
      <c r="A88" s="473" t="s">
        <v>327</v>
      </c>
      <c r="B88" s="291" t="s">
        <v>326</v>
      </c>
      <c r="C88" s="471"/>
    </row>
    <row r="89" spans="1:3" s="424" customFormat="1" ht="15.75" customHeight="1" thickBot="1" x14ac:dyDescent="0.25">
      <c r="A89" s="473" t="s">
        <v>339</v>
      </c>
      <c r="B89" s="432" t="s">
        <v>470</v>
      </c>
      <c r="C89" s="302">
        <f>+C66+C70+C75+C78+C82+C88+C87</f>
        <v>0</v>
      </c>
    </row>
    <row r="90" spans="1:3" s="424" customFormat="1" ht="16.5" customHeight="1" thickBot="1" x14ac:dyDescent="0.25">
      <c r="A90" s="474" t="s">
        <v>469</v>
      </c>
      <c r="B90" s="433" t="s">
        <v>471</v>
      </c>
      <c r="C90" s="302">
        <f>+C65+C89</f>
        <v>0</v>
      </c>
    </row>
    <row r="91" spans="1:3" s="424" customFormat="1" ht="24.75" customHeight="1" x14ac:dyDescent="0.2">
      <c r="A91" s="5"/>
      <c r="B91" s="6"/>
      <c r="C91" s="303"/>
    </row>
    <row r="92" spans="1:3" ht="16.5" customHeight="1" x14ac:dyDescent="0.25">
      <c r="A92" s="670" t="s">
        <v>44</v>
      </c>
      <c r="B92" s="670"/>
      <c r="C92" s="670"/>
    </row>
    <row r="93" spans="1:3" s="434" customFormat="1" ht="16.5" customHeight="1" thickBot="1" x14ac:dyDescent="0.3">
      <c r="A93" s="672" t="s">
        <v>146</v>
      </c>
      <c r="B93" s="672"/>
      <c r="C93" s="146" t="s">
        <v>562</v>
      </c>
    </row>
    <row r="94" spans="1:3" ht="38.1" customHeight="1" thickBot="1" x14ac:dyDescent="0.3">
      <c r="A94" s="23" t="s">
        <v>66</v>
      </c>
      <c r="B94" s="24" t="s">
        <v>45</v>
      </c>
      <c r="C94" s="41" t="str">
        <f>+C3</f>
        <v>2020. évi előirányzat</v>
      </c>
    </row>
    <row r="95" spans="1:3" s="423" customFormat="1" ht="12" customHeight="1" thickBot="1" x14ac:dyDescent="0.25">
      <c r="A95" s="33"/>
      <c r="B95" s="34" t="s">
        <v>484</v>
      </c>
      <c r="C95" s="35" t="s">
        <v>485</v>
      </c>
    </row>
    <row r="96" spans="1:3" ht="12" customHeight="1" thickBot="1" x14ac:dyDescent="0.3">
      <c r="A96" s="22" t="s">
        <v>15</v>
      </c>
      <c r="B96" s="28" t="s">
        <v>429</v>
      </c>
      <c r="C96" s="295">
        <f>C97+C98+C99+C100+C101+C114</f>
        <v>23763047</v>
      </c>
    </row>
    <row r="97" spans="1:3" ht="12" customHeight="1" x14ac:dyDescent="0.25">
      <c r="A97" s="17" t="s">
        <v>92</v>
      </c>
      <c r="B97" s="10" t="s">
        <v>46</v>
      </c>
      <c r="C97" s="297">
        <f>'9.2.3. sz. mell HIV'!C47</f>
        <v>18881211</v>
      </c>
    </row>
    <row r="98" spans="1:3" ht="12" customHeight="1" x14ac:dyDescent="0.25">
      <c r="A98" s="14" t="s">
        <v>93</v>
      </c>
      <c r="B98" s="8" t="s">
        <v>172</v>
      </c>
      <c r="C98" s="298">
        <f>'9.2.3. sz. mell HIV'!C48</f>
        <v>3681836</v>
      </c>
    </row>
    <row r="99" spans="1:3" ht="12" customHeight="1" x14ac:dyDescent="0.25">
      <c r="A99" s="14" t="s">
        <v>94</v>
      </c>
      <c r="B99" s="8" t="s">
        <v>134</v>
      </c>
      <c r="C99" s="299">
        <f>'9.2.3. sz. mell HIV'!C49</f>
        <v>1200000</v>
      </c>
    </row>
    <row r="100" spans="1:3" ht="12" customHeight="1" x14ac:dyDescent="0.25">
      <c r="A100" s="14" t="s">
        <v>95</v>
      </c>
      <c r="B100" s="11" t="s">
        <v>173</v>
      </c>
      <c r="C100" s="300"/>
    </row>
    <row r="101" spans="1:3" ht="12" customHeight="1" x14ac:dyDescent="0.25">
      <c r="A101" s="14" t="s">
        <v>106</v>
      </c>
      <c r="B101" s="19" t="s">
        <v>174</v>
      </c>
      <c r="C101" s="300"/>
    </row>
    <row r="102" spans="1:3" ht="12" customHeight="1" x14ac:dyDescent="0.25">
      <c r="A102" s="14" t="s">
        <v>96</v>
      </c>
      <c r="B102" s="8" t="s">
        <v>434</v>
      </c>
      <c r="C102" s="300"/>
    </row>
    <row r="103" spans="1:3" ht="12" customHeight="1" x14ac:dyDescent="0.25">
      <c r="A103" s="14" t="s">
        <v>97</v>
      </c>
      <c r="B103" s="151" t="s">
        <v>433</v>
      </c>
      <c r="C103" s="300"/>
    </row>
    <row r="104" spans="1:3" ht="12" customHeight="1" x14ac:dyDescent="0.25">
      <c r="A104" s="14" t="s">
        <v>107</v>
      </c>
      <c r="B104" s="151" t="s">
        <v>432</v>
      </c>
      <c r="C104" s="300"/>
    </row>
    <row r="105" spans="1:3" ht="12" customHeight="1" x14ac:dyDescent="0.25">
      <c r="A105" s="14" t="s">
        <v>108</v>
      </c>
      <c r="B105" s="149" t="s">
        <v>342</v>
      </c>
      <c r="C105" s="300"/>
    </row>
    <row r="106" spans="1:3" ht="12" customHeight="1" x14ac:dyDescent="0.25">
      <c r="A106" s="14" t="s">
        <v>109</v>
      </c>
      <c r="B106" s="150" t="s">
        <v>343</v>
      </c>
      <c r="C106" s="300"/>
    </row>
    <row r="107" spans="1:3" ht="12" customHeight="1" x14ac:dyDescent="0.25">
      <c r="A107" s="14" t="s">
        <v>110</v>
      </c>
      <c r="B107" s="150" t="s">
        <v>344</v>
      </c>
      <c r="C107" s="300"/>
    </row>
    <row r="108" spans="1:3" ht="12" customHeight="1" x14ac:dyDescent="0.25">
      <c r="A108" s="14" t="s">
        <v>112</v>
      </c>
      <c r="B108" s="149" t="s">
        <v>345</v>
      </c>
      <c r="C108" s="300"/>
    </row>
    <row r="109" spans="1:3" ht="12" customHeight="1" x14ac:dyDescent="0.25">
      <c r="A109" s="14" t="s">
        <v>175</v>
      </c>
      <c r="B109" s="149" t="s">
        <v>346</v>
      </c>
      <c r="C109" s="300"/>
    </row>
    <row r="110" spans="1:3" ht="12" customHeight="1" x14ac:dyDescent="0.25">
      <c r="A110" s="14" t="s">
        <v>340</v>
      </c>
      <c r="B110" s="150" t="s">
        <v>347</v>
      </c>
      <c r="C110" s="300"/>
    </row>
    <row r="111" spans="1:3" ht="12" customHeight="1" x14ac:dyDescent="0.25">
      <c r="A111" s="13" t="s">
        <v>341</v>
      </c>
      <c r="B111" s="151" t="s">
        <v>348</v>
      </c>
      <c r="C111" s="300"/>
    </row>
    <row r="112" spans="1:3" ht="12" customHeight="1" x14ac:dyDescent="0.25">
      <c r="A112" s="14" t="s">
        <v>430</v>
      </c>
      <c r="B112" s="151" t="s">
        <v>349</v>
      </c>
      <c r="C112" s="300"/>
    </row>
    <row r="113" spans="1:3" ht="12" customHeight="1" x14ac:dyDescent="0.25">
      <c r="A113" s="16" t="s">
        <v>431</v>
      </c>
      <c r="B113" s="151" t="s">
        <v>350</v>
      </c>
      <c r="C113" s="300"/>
    </row>
    <row r="114" spans="1:3" ht="12" customHeight="1" x14ac:dyDescent="0.25">
      <c r="A114" s="14" t="s">
        <v>435</v>
      </c>
      <c r="B114" s="11" t="s">
        <v>47</v>
      </c>
      <c r="C114" s="298"/>
    </row>
    <row r="115" spans="1:3" ht="12" customHeight="1" x14ac:dyDescent="0.25">
      <c r="A115" s="14" t="s">
        <v>436</v>
      </c>
      <c r="B115" s="8" t="s">
        <v>438</v>
      </c>
      <c r="C115" s="298"/>
    </row>
    <row r="116" spans="1:3" ht="12" customHeight="1" thickBot="1" x14ac:dyDescent="0.3">
      <c r="A116" s="18" t="s">
        <v>437</v>
      </c>
      <c r="B116" s="492" t="s">
        <v>439</v>
      </c>
      <c r="C116" s="304"/>
    </row>
    <row r="117" spans="1:3" ht="12" customHeight="1" thickBot="1" x14ac:dyDescent="0.3">
      <c r="A117" s="489" t="s">
        <v>16</v>
      </c>
      <c r="B117" s="490" t="s">
        <v>351</v>
      </c>
      <c r="C117" s="491">
        <f>+C118+C120+C122</f>
        <v>0</v>
      </c>
    </row>
    <row r="118" spans="1:3" ht="12" customHeight="1" x14ac:dyDescent="0.25">
      <c r="A118" s="15" t="s">
        <v>98</v>
      </c>
      <c r="B118" s="8" t="s">
        <v>214</v>
      </c>
      <c r="C118" s="299"/>
    </row>
    <row r="119" spans="1:3" ht="12" customHeight="1" x14ac:dyDescent="0.25">
      <c r="A119" s="15" t="s">
        <v>99</v>
      </c>
      <c r="B119" s="12" t="s">
        <v>355</v>
      </c>
      <c r="C119" s="299"/>
    </row>
    <row r="120" spans="1:3" ht="12" customHeight="1" x14ac:dyDescent="0.25">
      <c r="A120" s="15" t="s">
        <v>100</v>
      </c>
      <c r="B120" s="12" t="s">
        <v>176</v>
      </c>
      <c r="C120" s="298"/>
    </row>
    <row r="121" spans="1:3" ht="12" customHeight="1" x14ac:dyDescent="0.25">
      <c r="A121" s="15" t="s">
        <v>101</v>
      </c>
      <c r="B121" s="12" t="s">
        <v>356</v>
      </c>
      <c r="C121" s="279"/>
    </row>
    <row r="122" spans="1:3" ht="12" customHeight="1" x14ac:dyDescent="0.25">
      <c r="A122" s="15" t="s">
        <v>102</v>
      </c>
      <c r="B122" s="293" t="s">
        <v>217</v>
      </c>
      <c r="C122" s="279"/>
    </row>
    <row r="123" spans="1:3" ht="12" customHeight="1" x14ac:dyDescent="0.25">
      <c r="A123" s="15" t="s">
        <v>111</v>
      </c>
      <c r="B123" s="292" t="s">
        <v>420</v>
      </c>
      <c r="C123" s="279"/>
    </row>
    <row r="124" spans="1:3" ht="12" customHeight="1" x14ac:dyDescent="0.25">
      <c r="A124" s="15" t="s">
        <v>113</v>
      </c>
      <c r="B124" s="421" t="s">
        <v>361</v>
      </c>
      <c r="C124" s="279"/>
    </row>
    <row r="125" spans="1:3" x14ac:dyDescent="0.25">
      <c r="A125" s="15" t="s">
        <v>177</v>
      </c>
      <c r="B125" s="150" t="s">
        <v>344</v>
      </c>
      <c r="C125" s="279"/>
    </row>
    <row r="126" spans="1:3" ht="12" customHeight="1" x14ac:dyDescent="0.25">
      <c r="A126" s="15" t="s">
        <v>178</v>
      </c>
      <c r="B126" s="150" t="s">
        <v>360</v>
      </c>
      <c r="C126" s="279"/>
    </row>
    <row r="127" spans="1:3" ht="12" customHeight="1" x14ac:dyDescent="0.25">
      <c r="A127" s="15" t="s">
        <v>179</v>
      </c>
      <c r="B127" s="150" t="s">
        <v>359</v>
      </c>
      <c r="C127" s="279"/>
    </row>
    <row r="128" spans="1:3" ht="12" customHeight="1" x14ac:dyDescent="0.25">
      <c r="A128" s="15" t="s">
        <v>352</v>
      </c>
      <c r="B128" s="150" t="s">
        <v>347</v>
      </c>
      <c r="C128" s="279"/>
    </row>
    <row r="129" spans="1:3" ht="12" customHeight="1" x14ac:dyDescent="0.25">
      <c r="A129" s="15" t="s">
        <v>353</v>
      </c>
      <c r="B129" s="150" t="s">
        <v>358</v>
      </c>
      <c r="C129" s="279"/>
    </row>
    <row r="130" spans="1:3" ht="16.5" thickBot="1" x14ac:dyDescent="0.3">
      <c r="A130" s="13" t="s">
        <v>354</v>
      </c>
      <c r="B130" s="150" t="s">
        <v>357</v>
      </c>
      <c r="C130" s="281"/>
    </row>
    <row r="131" spans="1:3" ht="12" customHeight="1" thickBot="1" x14ac:dyDescent="0.3">
      <c r="A131" s="20" t="s">
        <v>17</v>
      </c>
      <c r="B131" s="132" t="s">
        <v>440</v>
      </c>
      <c r="C131" s="296">
        <f>+C96+C117</f>
        <v>23763047</v>
      </c>
    </row>
    <row r="132" spans="1:3" ht="12" customHeight="1" thickBot="1" x14ac:dyDescent="0.3">
      <c r="A132" s="20" t="s">
        <v>18</v>
      </c>
      <c r="B132" s="132" t="s">
        <v>441</v>
      </c>
      <c r="C132" s="296">
        <f>+C133+C134+C135</f>
        <v>0</v>
      </c>
    </row>
    <row r="133" spans="1:3" ht="12" customHeight="1" x14ac:dyDescent="0.25">
      <c r="A133" s="15" t="s">
        <v>256</v>
      </c>
      <c r="B133" s="12" t="s">
        <v>448</v>
      </c>
      <c r="C133" s="279"/>
    </row>
    <row r="134" spans="1:3" ht="12" customHeight="1" x14ac:dyDescent="0.25">
      <c r="A134" s="15" t="s">
        <v>257</v>
      </c>
      <c r="B134" s="12" t="s">
        <v>449</v>
      </c>
      <c r="C134" s="279"/>
    </row>
    <row r="135" spans="1:3" ht="12" customHeight="1" thickBot="1" x14ac:dyDescent="0.3">
      <c r="A135" s="13" t="s">
        <v>258</v>
      </c>
      <c r="B135" s="12" t="s">
        <v>450</v>
      </c>
      <c r="C135" s="279"/>
    </row>
    <row r="136" spans="1:3" ht="12" customHeight="1" thickBot="1" x14ac:dyDescent="0.3">
      <c r="A136" s="20" t="s">
        <v>19</v>
      </c>
      <c r="B136" s="132" t="s">
        <v>442</v>
      </c>
      <c r="C136" s="296">
        <f>SUM(C137:C142)</f>
        <v>0</v>
      </c>
    </row>
    <row r="137" spans="1:3" ht="12" customHeight="1" x14ac:dyDescent="0.25">
      <c r="A137" s="15" t="s">
        <v>85</v>
      </c>
      <c r="B137" s="9" t="s">
        <v>451</v>
      </c>
      <c r="C137" s="279"/>
    </row>
    <row r="138" spans="1:3" ht="12" customHeight="1" x14ac:dyDescent="0.25">
      <c r="A138" s="15" t="s">
        <v>86</v>
      </c>
      <c r="B138" s="9" t="s">
        <v>443</v>
      </c>
      <c r="C138" s="279"/>
    </row>
    <row r="139" spans="1:3" ht="12" customHeight="1" x14ac:dyDescent="0.25">
      <c r="A139" s="15" t="s">
        <v>87</v>
      </c>
      <c r="B139" s="9" t="s">
        <v>444</v>
      </c>
      <c r="C139" s="279"/>
    </row>
    <row r="140" spans="1:3" ht="12" customHeight="1" x14ac:dyDescent="0.25">
      <c r="A140" s="15" t="s">
        <v>164</v>
      </c>
      <c r="B140" s="9" t="s">
        <v>445</v>
      </c>
      <c r="C140" s="279"/>
    </row>
    <row r="141" spans="1:3" ht="12" customHeight="1" x14ac:dyDescent="0.25">
      <c r="A141" s="15" t="s">
        <v>165</v>
      </c>
      <c r="B141" s="9" t="s">
        <v>446</v>
      </c>
      <c r="C141" s="279"/>
    </row>
    <row r="142" spans="1:3" ht="12" customHeight="1" thickBot="1" x14ac:dyDescent="0.3">
      <c r="A142" s="13" t="s">
        <v>166</v>
      </c>
      <c r="B142" s="9" t="s">
        <v>447</v>
      </c>
      <c r="C142" s="279"/>
    </row>
    <row r="143" spans="1:3" ht="12" customHeight="1" thickBot="1" x14ac:dyDescent="0.3">
      <c r="A143" s="20" t="s">
        <v>20</v>
      </c>
      <c r="B143" s="132" t="s">
        <v>455</v>
      </c>
      <c r="C143" s="302">
        <f>+C144+C145+C146+C147</f>
        <v>0</v>
      </c>
    </row>
    <row r="144" spans="1:3" ht="12" customHeight="1" x14ac:dyDescent="0.25">
      <c r="A144" s="15" t="s">
        <v>88</v>
      </c>
      <c r="B144" s="9" t="s">
        <v>362</v>
      </c>
      <c r="C144" s="279"/>
    </row>
    <row r="145" spans="1:9" ht="12" customHeight="1" x14ac:dyDescent="0.25">
      <c r="A145" s="15" t="s">
        <v>89</v>
      </c>
      <c r="B145" s="9" t="s">
        <v>363</v>
      </c>
      <c r="C145" s="279"/>
    </row>
    <row r="146" spans="1:9" ht="12" customHeight="1" x14ac:dyDescent="0.25">
      <c r="A146" s="15" t="s">
        <v>276</v>
      </c>
      <c r="B146" s="9" t="s">
        <v>456</v>
      </c>
      <c r="C146" s="279"/>
    </row>
    <row r="147" spans="1:9" ht="12" customHeight="1" thickBot="1" x14ac:dyDescent="0.3">
      <c r="A147" s="13" t="s">
        <v>277</v>
      </c>
      <c r="B147" s="7" t="s">
        <v>382</v>
      </c>
      <c r="C147" s="279"/>
    </row>
    <row r="148" spans="1:9" ht="12" customHeight="1" thickBot="1" x14ac:dyDescent="0.3">
      <c r="A148" s="20" t="s">
        <v>21</v>
      </c>
      <c r="B148" s="132" t="s">
        <v>457</v>
      </c>
      <c r="C148" s="305">
        <f>SUM(C149:C153)</f>
        <v>0</v>
      </c>
    </row>
    <row r="149" spans="1:9" ht="12" customHeight="1" x14ac:dyDescent="0.25">
      <c r="A149" s="15" t="s">
        <v>90</v>
      </c>
      <c r="B149" s="9" t="s">
        <v>452</v>
      </c>
      <c r="C149" s="279"/>
    </row>
    <row r="150" spans="1:9" ht="12" customHeight="1" x14ac:dyDescent="0.25">
      <c r="A150" s="15" t="s">
        <v>91</v>
      </c>
      <c r="B150" s="9" t="s">
        <v>459</v>
      </c>
      <c r="C150" s="279"/>
    </row>
    <row r="151" spans="1:9" ht="12" customHeight="1" x14ac:dyDescent="0.25">
      <c r="A151" s="15" t="s">
        <v>288</v>
      </c>
      <c r="B151" s="9" t="s">
        <v>454</v>
      </c>
      <c r="C151" s="279"/>
    </row>
    <row r="152" spans="1:9" ht="12" customHeight="1" x14ac:dyDescent="0.25">
      <c r="A152" s="15" t="s">
        <v>289</v>
      </c>
      <c r="B152" s="9" t="s">
        <v>460</v>
      </c>
      <c r="C152" s="279"/>
    </row>
    <row r="153" spans="1:9" ht="12" customHeight="1" thickBot="1" x14ac:dyDescent="0.3">
      <c r="A153" s="15" t="s">
        <v>458</v>
      </c>
      <c r="B153" s="9" t="s">
        <v>461</v>
      </c>
      <c r="C153" s="279"/>
    </row>
    <row r="154" spans="1:9" ht="12" customHeight="1" thickBot="1" x14ac:dyDescent="0.3">
      <c r="A154" s="20" t="s">
        <v>22</v>
      </c>
      <c r="B154" s="132" t="s">
        <v>462</v>
      </c>
      <c r="C154" s="493"/>
    </row>
    <row r="155" spans="1:9" ht="12" customHeight="1" thickBot="1" x14ac:dyDescent="0.3">
      <c r="A155" s="20" t="s">
        <v>23</v>
      </c>
      <c r="B155" s="132" t="s">
        <v>463</v>
      </c>
      <c r="C155" s="493"/>
    </row>
    <row r="156" spans="1:9" ht="15" customHeight="1" thickBot="1" x14ac:dyDescent="0.3">
      <c r="A156" s="20" t="s">
        <v>24</v>
      </c>
      <c r="B156" s="132" t="s">
        <v>465</v>
      </c>
      <c r="C156" s="435">
        <f>+C132+C136+C143+C148+C154+C155</f>
        <v>0</v>
      </c>
      <c r="F156" s="436"/>
      <c r="G156" s="437"/>
      <c r="H156" s="437"/>
      <c r="I156" s="437"/>
    </row>
    <row r="157" spans="1:9" s="424" customFormat="1" ht="12.95" customHeight="1" thickBot="1" x14ac:dyDescent="0.25">
      <c r="A157" s="294" t="s">
        <v>25</v>
      </c>
      <c r="B157" s="387" t="s">
        <v>464</v>
      </c>
      <c r="C157" s="435">
        <f>+C131+C156</f>
        <v>23763047</v>
      </c>
    </row>
    <row r="158" spans="1:9" ht="7.5" customHeight="1" x14ac:dyDescent="0.25"/>
    <row r="159" spans="1:9" x14ac:dyDescent="0.25">
      <c r="A159" s="673" t="s">
        <v>364</v>
      </c>
      <c r="B159" s="673"/>
      <c r="C159" s="673"/>
    </row>
    <row r="160" spans="1:9" ht="15" customHeight="1" thickBot="1" x14ac:dyDescent="0.3">
      <c r="A160" s="671" t="s">
        <v>147</v>
      </c>
      <c r="B160" s="671"/>
      <c r="C160" s="306" t="s">
        <v>215</v>
      </c>
    </row>
    <row r="161" spans="1:4" ht="13.5" customHeight="1" thickBot="1" x14ac:dyDescent="0.3">
      <c r="A161" s="20">
        <v>1</v>
      </c>
      <c r="B161" s="27" t="s">
        <v>466</v>
      </c>
      <c r="C161" s="296">
        <f>+C65-C131</f>
        <v>-23763047</v>
      </c>
      <c r="D161" s="438"/>
    </row>
    <row r="162" spans="1:4" ht="27.75" customHeight="1" thickBot="1" x14ac:dyDescent="0.3">
      <c r="A162" s="20" t="s">
        <v>16</v>
      </c>
      <c r="B162" s="27" t="s">
        <v>558</v>
      </c>
      <c r="C162" s="296">
        <f>+C89-C156</f>
        <v>0</v>
      </c>
    </row>
  </sheetData>
  <mergeCells count="6">
    <mergeCell ref="A160:B160"/>
    <mergeCell ref="A1:C1"/>
    <mergeCell ref="A2:B2"/>
    <mergeCell ref="A92:C92"/>
    <mergeCell ref="A93:B93"/>
    <mergeCell ref="A159:C15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2020. ÉVI KÖLTSÉGVETÉS
ÁLLAMIGAZGATÁSI FELADATAINAK MÉRLEGE
&amp;R&amp;"Times New Roman CE,Félkövér dőlt"&amp;11 1.4. melléklet a .../2020. (....) önkormányzati rendelethez</oddHeader>
  </headerFooter>
  <rowBreaks count="1" manualBreakCount="1">
    <brk id="90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topLeftCell="B1" zoomScaleNormal="115" zoomScaleSheetLayoutView="100" workbookViewId="0">
      <selection activeCell="C21" sqref="C21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76" t="str">
        <f>+CONCATENATE("2.1. melléklet a .../",LEFT(ÖSSZEFÜGGÉSEK!A5,4),". (.....) önkormányzati rendelethez")</f>
        <v>2.1. melléklet a .../2020. (.....) önkormányzati rendelethez</v>
      </c>
    </row>
    <row r="2" spans="1:8" ht="14.25" thickBot="1" x14ac:dyDescent="0.25">
      <c r="E2" s="320" t="s">
        <v>561</v>
      </c>
      <c r="F2" s="676"/>
    </row>
    <row r="3" spans="1:8" ht="18" customHeight="1" thickBot="1" x14ac:dyDescent="0.25">
      <c r="A3" s="674" t="s">
        <v>66</v>
      </c>
      <c r="B3" s="321" t="s">
        <v>53</v>
      </c>
      <c r="C3" s="322"/>
      <c r="D3" s="321" t="s">
        <v>54</v>
      </c>
      <c r="E3" s="323"/>
      <c r="F3" s="676"/>
    </row>
    <row r="4" spans="1:8" s="324" customFormat="1" ht="35.25" customHeight="1" thickBot="1" x14ac:dyDescent="0.25">
      <c r="A4" s="675"/>
      <c r="B4" s="198" t="s">
        <v>59</v>
      </c>
      <c r="C4" s="199" t="str">
        <f>+'1.1.sz.mell.'!C3</f>
        <v>2020. évi előirányzat</v>
      </c>
      <c r="D4" s="198" t="s">
        <v>59</v>
      </c>
      <c r="E4" s="55" t="str">
        <f>+C4</f>
        <v>2020. évi előirányzat</v>
      </c>
      <c r="F4" s="676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6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532738838</v>
      </c>
      <c r="D6" s="331" t="s">
        <v>60</v>
      </c>
      <c r="E6" s="313">
        <f>'1.1.sz.mell.'!C97</f>
        <v>499749997</v>
      </c>
      <c r="F6" s="676"/>
    </row>
    <row r="7" spans="1:8" ht="12.95" customHeight="1" x14ac:dyDescent="0.2">
      <c r="A7" s="332" t="s">
        <v>16</v>
      </c>
      <c r="B7" s="333" t="s">
        <v>366</v>
      </c>
      <c r="C7" s="307">
        <f>'1.1.sz.mell.'!C14</f>
        <v>150594249</v>
      </c>
      <c r="D7" s="333" t="s">
        <v>172</v>
      </c>
      <c r="E7" s="313">
        <f>'1.1.sz.mell.'!C98</f>
        <v>81832700</v>
      </c>
      <c r="F7" s="676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'1.1.sz.mell.'!C99</f>
        <v>522677041</v>
      </c>
      <c r="F8" s="676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'1.1.sz.mell.'!C28</f>
        <v>145765000</v>
      </c>
      <c r="D9" s="333" t="s">
        <v>173</v>
      </c>
      <c r="E9" s="313">
        <f>'1.1.sz.mell.'!C100</f>
        <v>28450000</v>
      </c>
      <c r="F9" s="676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'1.1.sz.mell.'!C37</f>
        <v>98378802</v>
      </c>
      <c r="D10" s="333" t="s">
        <v>174</v>
      </c>
      <c r="E10" s="313">
        <f>'1.1.sz.mell.'!C101</f>
        <v>36750000</v>
      </c>
      <c r="F10" s="676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'1.1.sz.mell.'!C55</f>
        <v>0</v>
      </c>
      <c r="D11" s="333" t="s">
        <v>47</v>
      </c>
      <c r="E11" s="313">
        <f>'1.1.sz.mell.'!C116</f>
        <v>0</v>
      </c>
      <c r="F11" s="676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76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76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76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76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76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76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927476889</v>
      </c>
      <c r="D18" s="134" t="s">
        <v>373</v>
      </c>
      <c r="E18" s="316">
        <f>SUM(E6:E17)</f>
        <v>1169459738</v>
      </c>
      <c r="F18" s="676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261549748</v>
      </c>
      <c r="D19" s="338" t="s">
        <v>180</v>
      </c>
      <c r="E19" s="317"/>
      <c r="F19" s="676"/>
    </row>
    <row r="20" spans="1:6" ht="12.95" customHeight="1" x14ac:dyDescent="0.2">
      <c r="A20" s="339" t="s">
        <v>29</v>
      </c>
      <c r="B20" s="338" t="s">
        <v>212</v>
      </c>
      <c r="C20" s="79">
        <v>261549748</v>
      </c>
      <c r="D20" s="338" t="s">
        <v>372</v>
      </c>
      <c r="E20" s="80"/>
      <c r="F20" s="676"/>
    </row>
    <row r="21" spans="1:6" ht="12.95" customHeight="1" x14ac:dyDescent="0.2">
      <c r="A21" s="339" t="s">
        <v>30</v>
      </c>
      <c r="B21" s="338" t="s">
        <v>213</v>
      </c>
      <c r="C21" s="79">
        <f>+'1.1.sz.mell.'!C77</f>
        <v>0</v>
      </c>
      <c r="D21" s="338" t="s">
        <v>149</v>
      </c>
      <c r="E21" s="80"/>
      <c r="F21" s="676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76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76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76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76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76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76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+'1.1.sz.mell.'!C145</f>
        <v>19566899</v>
      </c>
      <c r="F28" s="676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261549748</v>
      </c>
      <c r="D29" s="134" t="s">
        <v>476</v>
      </c>
      <c r="E29" s="316">
        <f>SUM(E19:E28)</f>
        <v>19566899</v>
      </c>
      <c r="F29" s="676"/>
    </row>
    <row r="30" spans="1:6" ht="13.5" thickBot="1" x14ac:dyDescent="0.25">
      <c r="A30" s="335" t="s">
        <v>39</v>
      </c>
      <c r="B30" s="341" t="s">
        <v>475</v>
      </c>
      <c r="C30" s="342">
        <f>+C18+C29</f>
        <v>1189026637</v>
      </c>
      <c r="D30" s="341" t="s">
        <v>477</v>
      </c>
      <c r="E30" s="342">
        <f>+E18+E29</f>
        <v>1189026637</v>
      </c>
      <c r="F30" s="676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241982849</v>
      </c>
      <c r="D31" s="341" t="s">
        <v>159</v>
      </c>
      <c r="E31" s="342" t="str">
        <f>IF(C18-E18&gt;0,C18-E18,"-")</f>
        <v>-</v>
      </c>
      <c r="F31" s="676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76"/>
    </row>
    <row r="33" spans="2:4" ht="18.75" x14ac:dyDescent="0.2">
      <c r="B33" s="677"/>
      <c r="C33" s="677"/>
      <c r="D33" s="677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B7" zoomScale="115" zoomScaleNormal="100" zoomScaleSheetLayoutView="115" workbookViewId="0">
      <selection activeCell="C19" sqref="C19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76" t="str">
        <f>+CONCATENATE("2.2. melléklet a .../",LEFT(ÖSSZEFÜGGÉSEK!A5,4),". (…..) önkormányzati rendelethez")</f>
        <v>2.2. melléklet a .../2020. (…..) önkormányzati rendelethez</v>
      </c>
    </row>
    <row r="2" spans="1:6" ht="14.25" thickBot="1" x14ac:dyDescent="0.25">
      <c r="E2" s="320" t="s">
        <v>600</v>
      </c>
      <c r="F2" s="676"/>
    </row>
    <row r="3" spans="1:6" ht="13.5" thickBot="1" x14ac:dyDescent="0.25">
      <c r="A3" s="678" t="s">
        <v>66</v>
      </c>
      <c r="B3" s="321" t="s">
        <v>53</v>
      </c>
      <c r="C3" s="322"/>
      <c r="D3" s="321" t="s">
        <v>54</v>
      </c>
      <c r="E3" s="323"/>
      <c r="F3" s="676"/>
    </row>
    <row r="4" spans="1:6" s="324" customFormat="1" ht="24.75" thickBot="1" x14ac:dyDescent="0.25">
      <c r="A4" s="679"/>
      <c r="B4" s="198" t="s">
        <v>59</v>
      </c>
      <c r="C4" s="199" t="str">
        <f>+'2.1.sz.mell  '!C4</f>
        <v>2020. évi előirányzat</v>
      </c>
      <c r="D4" s="198" t="s">
        <v>59</v>
      </c>
      <c r="E4" s="199" t="str">
        <f>+'2.1.sz.mell  '!C4</f>
        <v>2020. évi előirányzat</v>
      </c>
      <c r="F4" s="676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6"/>
    </row>
    <row r="6" spans="1:6" ht="12.95" customHeight="1" x14ac:dyDescent="0.2">
      <c r="A6" s="330" t="s">
        <v>15</v>
      </c>
      <c r="B6" s="331" t="s">
        <v>374</v>
      </c>
      <c r="C6" s="307">
        <f>'1.1.sz.mell.'!C21</f>
        <v>369130289</v>
      </c>
      <c r="D6" s="331" t="s">
        <v>214</v>
      </c>
      <c r="E6" s="313">
        <f>'1.1.sz.mell.'!C118</f>
        <v>657028820</v>
      </c>
      <c r="F6" s="676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76"/>
    </row>
    <row r="8" spans="1:6" ht="12.95" customHeight="1" x14ac:dyDescent="0.2">
      <c r="A8" s="332" t="s">
        <v>17</v>
      </c>
      <c r="B8" s="333" t="s">
        <v>6</v>
      </c>
      <c r="C8" s="308">
        <f>'1.1.sz.mell.'!C49</f>
        <v>10200000</v>
      </c>
      <c r="D8" s="333" t="s">
        <v>176</v>
      </c>
      <c r="E8" s="314">
        <f>'1.1.sz.mell.'!C120</f>
        <v>26473150</v>
      </c>
      <c r="F8" s="676"/>
    </row>
    <row r="9" spans="1:6" ht="12.95" customHeight="1" x14ac:dyDescent="0.2">
      <c r="A9" s="332" t="s">
        <v>18</v>
      </c>
      <c r="B9" s="333" t="s">
        <v>376</v>
      </c>
      <c r="C9" s="308">
        <f>'1.1.sz.mell.'!C60</f>
        <v>0</v>
      </c>
      <c r="D9" s="333" t="s">
        <v>381</v>
      </c>
      <c r="E9" s="314"/>
      <c r="F9" s="676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'1.1.sz.mell.'!C122</f>
        <v>0</v>
      </c>
      <c r="F10" s="676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76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76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76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76"/>
    </row>
    <row r="15" spans="1:6" x14ac:dyDescent="0.2">
      <c r="A15" s="332" t="s">
        <v>24</v>
      </c>
      <c r="B15" s="48"/>
      <c r="C15" s="309"/>
      <c r="D15" s="442"/>
      <c r="E15" s="314"/>
      <c r="F15" s="676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76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379330289</v>
      </c>
      <c r="D17" s="134" t="s">
        <v>389</v>
      </c>
      <c r="E17" s="316">
        <f>+E6+E8+E10+E11+E12+E13+E14+E15+E16</f>
        <v>683501970</v>
      </c>
      <c r="F17" s="676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316105056</v>
      </c>
      <c r="D18" s="338" t="s">
        <v>180</v>
      </c>
      <c r="E18" s="77"/>
      <c r="F18" s="676"/>
    </row>
    <row r="19" spans="1:6" ht="12.95" customHeight="1" x14ac:dyDescent="0.2">
      <c r="A19" s="332" t="s">
        <v>28</v>
      </c>
      <c r="B19" s="346" t="s">
        <v>224</v>
      </c>
      <c r="C19" s="79">
        <f>'1.1.sz.mell.'!C76-'2.1.sz.mell  '!C20</f>
        <v>316105056</v>
      </c>
      <c r="D19" s="338" t="s">
        <v>183</v>
      </c>
      <c r="E19" s="80"/>
      <c r="F19" s="676"/>
    </row>
    <row r="20" spans="1:6" ht="12.95" customHeight="1" x14ac:dyDescent="0.2">
      <c r="A20" s="330" t="s">
        <v>29</v>
      </c>
      <c r="B20" s="346" t="s">
        <v>225</v>
      </c>
      <c r="C20" s="79">
        <f>'1.1.sz.mell.'!C77</f>
        <v>0</v>
      </c>
      <c r="D20" s="338" t="s">
        <v>149</v>
      </c>
      <c r="E20" s="80"/>
      <c r="F20" s="676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'1.1.sz.mell.'!C133</f>
        <v>11440000</v>
      </c>
      <c r="F21" s="676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76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76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76"/>
    </row>
    <row r="25" spans="1:6" ht="12.95" customHeight="1" x14ac:dyDescent="0.2">
      <c r="A25" s="332" t="s">
        <v>34</v>
      </c>
      <c r="B25" s="347" t="s">
        <v>230</v>
      </c>
      <c r="C25" s="79">
        <f>'1.1.sz.mell.'!C67</f>
        <v>0</v>
      </c>
      <c r="D25" s="349" t="s">
        <v>382</v>
      </c>
      <c r="E25" s="80">
        <f>'1.1.sz.mell.'!C147</f>
        <v>493375</v>
      </c>
      <c r="F25" s="676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76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76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76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76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316105056</v>
      </c>
      <c r="D30" s="134" t="s">
        <v>383</v>
      </c>
      <c r="E30" s="316">
        <f>SUM(E18:E29)</f>
        <v>11933375</v>
      </c>
      <c r="F30" s="676"/>
    </row>
    <row r="31" spans="1:6" ht="13.5" thickBot="1" x14ac:dyDescent="0.25">
      <c r="A31" s="335" t="s">
        <v>40</v>
      </c>
      <c r="B31" s="341" t="s">
        <v>384</v>
      </c>
      <c r="C31" s="342">
        <f>+C17+C30</f>
        <v>695435345</v>
      </c>
      <c r="D31" s="341" t="s">
        <v>385</v>
      </c>
      <c r="E31" s="342">
        <f>+E17+E30</f>
        <v>695435345</v>
      </c>
      <c r="F31" s="676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304171681</v>
      </c>
      <c r="D32" s="341" t="s">
        <v>159</v>
      </c>
      <c r="E32" s="342" t="str">
        <f>IF(C17-E17&gt;0,C17-E17,"-")</f>
        <v>-</v>
      </c>
      <c r="F32" s="676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695435345</v>
      </c>
      <c r="F33" s="676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2020.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+'1.1.sz.mell.'!C65</f>
        <v>1306807178</v>
      </c>
      <c r="C6" s="142" t="s">
        <v>478</v>
      </c>
      <c r="D6" s="145">
        <f>+'2.1.sz.mell  '!C18+'2.2.sz.mell  '!C17</f>
        <v>1306807178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+'1.1.sz.mell.'!C89</f>
        <v>577654804</v>
      </c>
      <c r="C7" s="142" t="s">
        <v>479</v>
      </c>
      <c r="D7" s="145">
        <f>+'2.1.sz.mell  '!C29+'2.2.sz.mell  '!C30</f>
        <v>577654804</v>
      </c>
      <c r="E7" s="143">
        <f t="shared" si="0"/>
        <v>0</v>
      </c>
    </row>
    <row r="8" spans="1:5" x14ac:dyDescent="0.2">
      <c r="A8" s="142" t="s">
        <v>534</v>
      </c>
      <c r="B8" s="143">
        <f>+'1.1.sz.mell.'!C90</f>
        <v>1884461982</v>
      </c>
      <c r="C8" s="142" t="s">
        <v>480</v>
      </c>
      <c r="D8" s="145">
        <f>+'2.1.sz.mell  '!C30+'2.2.sz.mell  '!C31</f>
        <v>1884461982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2020.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+'1.1.sz.mell.'!C131</f>
        <v>1852961708</v>
      </c>
      <c r="C13" s="142" t="s">
        <v>481</v>
      </c>
      <c r="D13" s="145">
        <f>+'2.1.sz.mell  '!E18+'2.2.sz.mell  '!E17</f>
        <v>1852961708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+'1.1.sz.mell.'!C156</f>
        <v>31500274</v>
      </c>
      <c r="C14" s="142" t="s">
        <v>482</v>
      </c>
      <c r="D14" s="145">
        <f>+'2.1.sz.mell  '!E29+'2.2.sz.mell  '!E30</f>
        <v>31500274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+'1.1.sz.mell.'!C157</f>
        <v>1884461982</v>
      </c>
      <c r="C15" s="142" t="s">
        <v>483</v>
      </c>
      <c r="D15" s="145">
        <f>+'2.1.sz.mell  '!E30+'2.2.sz.mell  '!E31</f>
        <v>1884461982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14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topLeftCell="A3" zoomScale="120" zoomScaleNormal="120" workbookViewId="0">
      <selection activeCell="E7" sqref="E7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0" t="s">
        <v>551</v>
      </c>
      <c r="B1" s="680"/>
      <c r="C1" s="680"/>
      <c r="D1" s="680"/>
      <c r="E1" s="680"/>
      <c r="F1" s="680"/>
    </row>
    <row r="2" spans="1:7" ht="15.95" customHeight="1" thickBot="1" x14ac:dyDescent="0.3">
      <c r="A2" s="157"/>
      <c r="B2" s="157"/>
      <c r="C2" s="681"/>
      <c r="D2" s="681"/>
      <c r="E2" s="688" t="s">
        <v>52</v>
      </c>
      <c r="F2" s="688"/>
      <c r="G2" s="163"/>
    </row>
    <row r="3" spans="1:7" ht="63" customHeight="1" x14ac:dyDescent="0.25">
      <c r="A3" s="684" t="s">
        <v>13</v>
      </c>
      <c r="B3" s="686" t="s">
        <v>186</v>
      </c>
      <c r="C3" s="686" t="s">
        <v>239</v>
      </c>
      <c r="D3" s="686"/>
      <c r="E3" s="686"/>
      <c r="F3" s="682" t="s">
        <v>489</v>
      </c>
    </row>
    <row r="4" spans="1:7" ht="15.75" thickBot="1" x14ac:dyDescent="0.3">
      <c r="A4" s="685"/>
      <c r="B4" s="687"/>
      <c r="C4" s="487">
        <f>+LEFT(ÖSSZEFÜGGÉSEK!A5,4)+1</f>
        <v>2021</v>
      </c>
      <c r="D4" s="487">
        <f>+C4+1</f>
        <v>2022</v>
      </c>
      <c r="E4" s="487">
        <f>+D4+1</f>
        <v>2023</v>
      </c>
      <c r="F4" s="683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2" t="s">
        <v>608</v>
      </c>
      <c r="C6" s="573">
        <v>8639</v>
      </c>
      <c r="D6" s="573">
        <v>8639</v>
      </c>
      <c r="E6" s="573">
        <v>38038</v>
      </c>
      <c r="F6" s="574">
        <f>SUM(C6:E6)</f>
        <v>55316</v>
      </c>
    </row>
    <row r="7" spans="1:7" x14ac:dyDescent="0.25">
      <c r="A7" s="158" t="s">
        <v>16</v>
      </c>
      <c r="B7" s="180" t="s">
        <v>609</v>
      </c>
      <c r="C7" s="181"/>
      <c r="D7" s="181"/>
      <c r="E7" s="181"/>
      <c r="F7" s="166">
        <f>SUM(C7:E7)</f>
        <v>0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8639</v>
      </c>
      <c r="D11" s="478">
        <f>SUM(D6:D10)</f>
        <v>8639</v>
      </c>
      <c r="E11" s="478">
        <f>SUM(E6:E10)</f>
        <v>38038</v>
      </c>
      <c r="F11" s="479">
        <f>SUM(F6:F10)</f>
        <v>55316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...../2020.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2020-03-11T09:29:53Z</cp:lastPrinted>
  <dcterms:created xsi:type="dcterms:W3CDTF">1999-10-30T10:30:45Z</dcterms:created>
  <dcterms:modified xsi:type="dcterms:W3CDTF">2020-03-11T09:29:59Z</dcterms:modified>
</cp:coreProperties>
</file>